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xl/vbaProject.bin" ContentType="application/vnd.ms-office.vbaPro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codeName="{00000000-0000-0000-0000-000000000000}"/>
  <workbookPr updateLinks="never" codeName="ThisWorkbook"/>
  <mc:AlternateContent xmlns:mc="http://schemas.openxmlformats.org/markup-compatibility/2006">
    <mc:Choice Requires="x15">
      <x15ac:absPath xmlns:x15ac="http://schemas.microsoft.com/office/spreadsheetml/2010/11/ac" url="C:\Users\Sarit\Downloads\"/>
    </mc:Choice>
  </mc:AlternateContent>
  <xr:revisionPtr revIDLastSave="219" documentId="8_{43C8FF2E-C7BB-4C31-B1B9-F95DBDB213F9}" xr6:coauthVersionLast="47" xr6:coauthVersionMax="47" xr10:uidLastSave="{F280EF0E-918C-4BC3-AC67-65FE1B398496}"/>
  <bookViews>
    <workbookView xWindow="-120" yWindow="-120" windowWidth="20730" windowHeight="11040" firstSheet="6" activeTab="6" xr2:uid="{6AE49A48-5C1E-49FE-96E4-86AAF7CA509A}"/>
  </bookViews>
  <sheets>
    <sheet name="TablaD_3Provedores" sheetId="9" state="hidden" r:id="rId1"/>
    <sheet name="Tres_Entidad" sheetId="7" state="hidden" r:id="rId2"/>
    <sheet name="TablaDinamicaTres_Entidad" sheetId="8" state="hidden" r:id="rId3"/>
    <sheet name="Lista" sheetId="2" state="hidden" r:id="rId4"/>
    <sheet name="listaBolsa" sheetId="12" state="hidden" r:id="rId5"/>
    <sheet name="Estudio_Mercado" sheetId="4" state="hidden" r:id="rId6"/>
    <sheet name="FORMATO DE OFERTA ECONÓMICA" sheetId="17" r:id="rId7"/>
    <sheet name="BOLSA LOGÍSTICA Y DE SERVICIOS " sheetId="14" r:id="rId8"/>
    <sheet name="BOLSA PRESUPUESTAL HUERTAS CASE" sheetId="16" r:id="rId9"/>
  </sheets>
  <externalReferences>
    <externalReference r:id="rId10"/>
    <externalReference r:id="rId11"/>
    <externalReference r:id="rId12"/>
  </externalReferences>
  <definedNames>
    <definedName name="_xlnm._FilterDatabase" localSheetId="5" hidden="1">Estudio_Mercado!$A$9:$CR$116</definedName>
    <definedName name="_xleta.ROUND" hidden="1" xlm="1">#NAME?</definedName>
    <definedName name="_xlnm.Print_Area" localSheetId="5">Estudio_Mercado!$A$1:$AE$117</definedName>
  </definedNames>
  <calcPr calcId="191028"/>
  <pivotCaches>
    <pivotCache cacheId="746" r:id="rId13"/>
    <pivotCache cacheId="747" r:id="rId14"/>
    <pivotCache cacheId="748" r:id="rId1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7" l="1"/>
  <c r="G8" i="17"/>
  <c r="D115" i="17"/>
  <c r="O10" i="17"/>
  <c r="Q10" i="17"/>
  <c r="G94" i="17"/>
  <c r="G95" i="17"/>
  <c r="G96" i="17"/>
  <c r="G97" i="17"/>
  <c r="G98" i="17"/>
  <c r="G99" i="17"/>
  <c r="G100" i="17"/>
  <c r="G101" i="17"/>
  <c r="G102" i="17"/>
  <c r="G103" i="17"/>
  <c r="G104" i="17"/>
  <c r="G105" i="17"/>
  <c r="G106" i="17"/>
  <c r="G107" i="17"/>
  <c r="G108" i="17"/>
  <c r="G109" i="17"/>
  <c r="G110" i="17"/>
  <c r="G111" i="17"/>
  <c r="G112" i="17"/>
  <c r="G113" i="17"/>
  <c r="G114" i="17"/>
  <c r="G115" i="17"/>
  <c r="G93" i="17"/>
  <c r="F94" i="17"/>
  <c r="F95" i="17"/>
  <c r="F96" i="17"/>
  <c r="F97" i="17"/>
  <c r="F98" i="17"/>
  <c r="F99" i="17"/>
  <c r="F100" i="17"/>
  <c r="F101" i="17"/>
  <c r="F102" i="17"/>
  <c r="F103" i="17"/>
  <c r="F104" i="17"/>
  <c r="F105" i="17"/>
  <c r="F106" i="17"/>
  <c r="F107" i="17"/>
  <c r="F108" i="17"/>
  <c r="F109" i="17"/>
  <c r="F110" i="17"/>
  <c r="F111" i="17"/>
  <c r="F112" i="17"/>
  <c r="F113" i="17"/>
  <c r="F114" i="17"/>
  <c r="F115" i="17"/>
  <c r="F93" i="17"/>
  <c r="E94" i="17"/>
  <c r="E95" i="17"/>
  <c r="E96" i="17"/>
  <c r="E97" i="17"/>
  <c r="E98" i="17"/>
  <c r="E99" i="17"/>
  <c r="E100" i="17"/>
  <c r="E101" i="17"/>
  <c r="E102" i="17"/>
  <c r="E103" i="17"/>
  <c r="E104" i="17"/>
  <c r="E105" i="17"/>
  <c r="E106" i="17"/>
  <c r="E107" i="17"/>
  <c r="E108" i="17"/>
  <c r="E109" i="17"/>
  <c r="E110" i="17"/>
  <c r="E111" i="17"/>
  <c r="E112" i="17"/>
  <c r="E113" i="17"/>
  <c r="E114" i="17"/>
  <c r="E115" i="17"/>
  <c r="E93" i="17"/>
  <c r="D94" i="17"/>
  <c r="D95" i="17"/>
  <c r="D96" i="17"/>
  <c r="D97" i="17"/>
  <c r="D98" i="17"/>
  <c r="D99" i="17"/>
  <c r="D100" i="17"/>
  <c r="D101" i="17"/>
  <c r="D102" i="17"/>
  <c r="D103" i="17"/>
  <c r="D104" i="17"/>
  <c r="D105" i="17"/>
  <c r="D106" i="17"/>
  <c r="D107" i="17"/>
  <c r="D108" i="17"/>
  <c r="D109" i="17"/>
  <c r="D110" i="17"/>
  <c r="D111" i="17"/>
  <c r="D112" i="17"/>
  <c r="D113" i="17"/>
  <c r="D114" i="17"/>
  <c r="D93" i="17"/>
  <c r="C94" i="17"/>
  <c r="C95" i="17"/>
  <c r="C96" i="17"/>
  <c r="C97" i="17"/>
  <c r="C98" i="17"/>
  <c r="C99" i="17"/>
  <c r="C100" i="17"/>
  <c r="C101" i="17"/>
  <c r="C102" i="17"/>
  <c r="C103" i="17"/>
  <c r="C104" i="17"/>
  <c r="C105" i="17"/>
  <c r="C106" i="17"/>
  <c r="C107" i="17"/>
  <c r="C108" i="17"/>
  <c r="C109" i="17"/>
  <c r="C110" i="17"/>
  <c r="C111" i="17"/>
  <c r="C112" i="17"/>
  <c r="C113" i="17"/>
  <c r="C114" i="17"/>
  <c r="C115" i="17"/>
  <c r="C93" i="17"/>
  <c r="G34" i="17"/>
  <c r="AA33" i="4"/>
  <c r="I12" i="17"/>
  <c r="I13" i="17"/>
  <c r="I14" i="17"/>
  <c r="I15" i="17"/>
  <c r="I16" i="17"/>
  <c r="I17" i="17"/>
  <c r="I18" i="17"/>
  <c r="I19" i="17"/>
  <c r="I20" i="17"/>
  <c r="I21" i="17"/>
  <c r="I22" i="17"/>
  <c r="I23" i="17"/>
  <c r="I24" i="17"/>
  <c r="I25" i="17"/>
  <c r="I26" i="17"/>
  <c r="I27" i="17"/>
  <c r="I28" i="17"/>
  <c r="I29" i="17"/>
  <c r="I30" i="17"/>
  <c r="I31" i="17"/>
  <c r="I32" i="17"/>
  <c r="I33" i="17"/>
  <c r="I34" i="17"/>
  <c r="I35" i="17"/>
  <c r="I36" i="17"/>
  <c r="I37" i="17"/>
  <c r="I38" i="17"/>
  <c r="I39" i="17"/>
  <c r="I40" i="17"/>
  <c r="I41" i="17"/>
  <c r="I42" i="17"/>
  <c r="I43" i="17"/>
  <c r="I44" i="17"/>
  <c r="I45" i="17"/>
  <c r="I46" i="17"/>
  <c r="I47" i="17"/>
  <c r="I48" i="17"/>
  <c r="I49" i="17"/>
  <c r="I50" i="17"/>
  <c r="I51" i="17"/>
  <c r="I52" i="17"/>
  <c r="I53" i="17"/>
  <c r="I54" i="17"/>
  <c r="I55" i="17"/>
  <c r="I56" i="17"/>
  <c r="I57" i="17"/>
  <c r="I58" i="17"/>
  <c r="I59" i="17"/>
  <c r="I60" i="17"/>
  <c r="I61" i="17"/>
  <c r="I62" i="17"/>
  <c r="I63" i="17"/>
  <c r="I64" i="17"/>
  <c r="I65" i="17"/>
  <c r="I66" i="17"/>
  <c r="I67" i="17"/>
  <c r="I68" i="17"/>
  <c r="I69" i="17"/>
  <c r="I70" i="17"/>
  <c r="I71" i="17"/>
  <c r="I72" i="17"/>
  <c r="I73" i="17"/>
  <c r="I74" i="17"/>
  <c r="I75" i="17"/>
  <c r="I76" i="17"/>
  <c r="I77" i="17"/>
  <c r="I78" i="17"/>
  <c r="I79" i="17"/>
  <c r="I80" i="17"/>
  <c r="I81" i="17"/>
  <c r="I82" i="17"/>
  <c r="I83" i="17"/>
  <c r="I84" i="17"/>
  <c r="I85" i="17"/>
  <c r="I86" i="17"/>
  <c r="I87" i="17"/>
  <c r="I88" i="17"/>
  <c r="I89" i="17"/>
  <c r="G14" i="17"/>
  <c r="G15" i="17"/>
  <c r="G16" i="17"/>
  <c r="G17" i="17"/>
  <c r="G18" i="17"/>
  <c r="G19" i="17"/>
  <c r="G20" i="17"/>
  <c r="G21" i="17"/>
  <c r="G22" i="17"/>
  <c r="G23" i="17"/>
  <c r="G24" i="17"/>
  <c r="G25" i="17"/>
  <c r="G26" i="17"/>
  <c r="G27" i="17"/>
  <c r="G28" i="17"/>
  <c r="G29" i="17"/>
  <c r="G30" i="17"/>
  <c r="G31" i="17"/>
  <c r="G33" i="17"/>
  <c r="G35" i="17"/>
  <c r="G36" i="17"/>
  <c r="G37" i="17"/>
  <c r="G39" i="17"/>
  <c r="G40" i="17"/>
  <c r="G41" i="17"/>
  <c r="G42" i="17"/>
  <c r="G43" i="17"/>
  <c r="G44" i="17"/>
  <c r="G45" i="17"/>
  <c r="G46" i="17"/>
  <c r="G47" i="17"/>
  <c r="G48" i="17"/>
  <c r="G49" i="17"/>
  <c r="G50" i="17"/>
  <c r="G51" i="17"/>
  <c r="G52" i="17"/>
  <c r="G53" i="17"/>
  <c r="G54" i="17"/>
  <c r="G55" i="17"/>
  <c r="G56" i="17"/>
  <c r="G57" i="17"/>
  <c r="G58" i="17"/>
  <c r="G59" i="17"/>
  <c r="G60" i="17"/>
  <c r="G61" i="17"/>
  <c r="G62" i="17"/>
  <c r="G63" i="17"/>
  <c r="G64" i="17"/>
  <c r="G65" i="17"/>
  <c r="G66" i="17"/>
  <c r="G67" i="17"/>
  <c r="G68" i="17"/>
  <c r="G69" i="17"/>
  <c r="G70" i="17"/>
  <c r="G72" i="17"/>
  <c r="G73" i="17"/>
  <c r="G74" i="17"/>
  <c r="G75" i="17"/>
  <c r="G76" i="17"/>
  <c r="G77" i="17"/>
  <c r="G78" i="17"/>
  <c r="G79" i="17"/>
  <c r="G80" i="17"/>
  <c r="G81" i="17"/>
  <c r="G82" i="17"/>
  <c r="G83" i="17"/>
  <c r="G84" i="17"/>
  <c r="G85" i="17"/>
  <c r="G86" i="17"/>
  <c r="G87" i="17"/>
  <c r="G12" i="17"/>
  <c r="G13" i="17"/>
  <c r="G11"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48" i="17"/>
  <c r="F49" i="17"/>
  <c r="F50" i="17"/>
  <c r="F51" i="17"/>
  <c r="F52" i="17"/>
  <c r="F53" i="17"/>
  <c r="F54" i="17"/>
  <c r="F55" i="17"/>
  <c r="F56" i="17"/>
  <c r="F57" i="17"/>
  <c r="F58" i="17"/>
  <c r="F59" i="17"/>
  <c r="F60" i="17"/>
  <c r="F61" i="17"/>
  <c r="F62" i="17"/>
  <c r="F63" i="17"/>
  <c r="F64" i="17"/>
  <c r="F65" i="17"/>
  <c r="F66" i="17"/>
  <c r="F67" i="17"/>
  <c r="F68" i="17"/>
  <c r="F69" i="17"/>
  <c r="F70" i="17"/>
  <c r="F71" i="17"/>
  <c r="F72" i="17"/>
  <c r="F73" i="17"/>
  <c r="F74" i="17"/>
  <c r="F75" i="17"/>
  <c r="F76" i="17"/>
  <c r="F77" i="17"/>
  <c r="F78" i="17"/>
  <c r="F79" i="17"/>
  <c r="F80" i="17"/>
  <c r="F81" i="17"/>
  <c r="F82" i="17"/>
  <c r="F83" i="17"/>
  <c r="F84" i="17"/>
  <c r="F85" i="17"/>
  <c r="F86" i="17"/>
  <c r="F87" i="17"/>
  <c r="F88" i="17"/>
  <c r="F89" i="17"/>
  <c r="F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E50" i="17"/>
  <c r="E51" i="17"/>
  <c r="E52" i="17"/>
  <c r="E53" i="17"/>
  <c r="E54" i="17"/>
  <c r="E55" i="17"/>
  <c r="E56" i="17"/>
  <c r="E57" i="17"/>
  <c r="E58" i="17"/>
  <c r="E59" i="17"/>
  <c r="E60" i="17"/>
  <c r="E61" i="17"/>
  <c r="E62" i="17"/>
  <c r="E63" i="17"/>
  <c r="E64" i="17"/>
  <c r="E65" i="17"/>
  <c r="E66" i="17"/>
  <c r="E67" i="17"/>
  <c r="E68" i="17"/>
  <c r="E69" i="17"/>
  <c r="E70" i="17"/>
  <c r="E71" i="17"/>
  <c r="E72" i="17"/>
  <c r="E73" i="17"/>
  <c r="E74" i="17"/>
  <c r="E75" i="17"/>
  <c r="E76" i="17"/>
  <c r="E77" i="17"/>
  <c r="E78" i="17"/>
  <c r="E79" i="17"/>
  <c r="E80" i="17"/>
  <c r="E81" i="17"/>
  <c r="E82" i="17"/>
  <c r="E83" i="17"/>
  <c r="E84" i="17"/>
  <c r="E85" i="17"/>
  <c r="E86" i="17"/>
  <c r="E87" i="17"/>
  <c r="E88" i="17"/>
  <c r="E89" i="17"/>
  <c r="E11" i="17"/>
  <c r="D12" i="17"/>
  <c r="D13" i="17"/>
  <c r="D14" i="17"/>
  <c r="D15" i="17"/>
  <c r="D16" i="17"/>
  <c r="D17" i="17"/>
  <c r="D18" i="17"/>
  <c r="D19" i="17"/>
  <c r="D20" i="17"/>
  <c r="D21" i="17"/>
  <c r="D22" i="17"/>
  <c r="D23" i="17"/>
  <c r="D24" i="17"/>
  <c r="D25" i="17"/>
  <c r="D26" i="17"/>
  <c r="D27" i="17"/>
  <c r="D28" i="17"/>
  <c r="D29" i="17"/>
  <c r="D30" i="17"/>
  <c r="D31" i="17"/>
  <c r="D32" i="17"/>
  <c r="D33" i="17"/>
  <c r="D34" i="17"/>
  <c r="D35" i="17"/>
  <c r="D36" i="17"/>
  <c r="D37" i="17"/>
  <c r="D38" i="17"/>
  <c r="D39" i="17"/>
  <c r="D40" i="17"/>
  <c r="D41" i="17"/>
  <c r="D42" i="17"/>
  <c r="D43" i="17"/>
  <c r="D44" i="17"/>
  <c r="D45" i="17"/>
  <c r="D46" i="17"/>
  <c r="D47" i="17"/>
  <c r="D48" i="17"/>
  <c r="D49" i="17"/>
  <c r="D50" i="17"/>
  <c r="D51" i="17"/>
  <c r="D52" i="17"/>
  <c r="D53" i="17"/>
  <c r="D54" i="17"/>
  <c r="D55" i="17"/>
  <c r="D56" i="17"/>
  <c r="D57" i="17"/>
  <c r="D58" i="17"/>
  <c r="D59" i="17"/>
  <c r="D60" i="17"/>
  <c r="D61" i="17"/>
  <c r="D62" i="17"/>
  <c r="D63" i="17"/>
  <c r="D64" i="17"/>
  <c r="D65" i="17"/>
  <c r="D66" i="17"/>
  <c r="D67" i="17"/>
  <c r="D68" i="17"/>
  <c r="D69" i="17"/>
  <c r="D70" i="17"/>
  <c r="D71" i="17"/>
  <c r="D72" i="17"/>
  <c r="D73" i="17"/>
  <c r="D74" i="17"/>
  <c r="D75" i="17"/>
  <c r="D76" i="17"/>
  <c r="D77" i="17"/>
  <c r="D78" i="17"/>
  <c r="D79" i="17"/>
  <c r="D80" i="17"/>
  <c r="D81" i="17"/>
  <c r="D82" i="17"/>
  <c r="D83" i="17"/>
  <c r="D84" i="17"/>
  <c r="D85" i="17"/>
  <c r="D86" i="17"/>
  <c r="D87" i="17"/>
  <c r="D88" i="17"/>
  <c r="D89" i="17"/>
  <c r="D11" i="17"/>
  <c r="C89"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11" i="17"/>
  <c r="H116" i="17"/>
  <c r="K98" i="17"/>
  <c r="K97" i="17"/>
  <c r="K96" i="17"/>
  <c r="K95" i="17"/>
  <c r="K94" i="17"/>
  <c r="K93" i="17"/>
  <c r="H90" i="17"/>
  <c r="K75" i="17"/>
  <c r="K74" i="17"/>
  <c r="K73" i="17"/>
  <c r="K72" i="17"/>
  <c r="K71" i="17"/>
  <c r="K70" i="17"/>
  <c r="K69" i="17"/>
  <c r="K68" i="17"/>
  <c r="K67" i="17"/>
  <c r="K66" i="17"/>
  <c r="K65" i="17"/>
  <c r="K64" i="17"/>
  <c r="K63" i="17"/>
  <c r="K62" i="17"/>
  <c r="K61" i="17"/>
  <c r="K60" i="17"/>
  <c r="K59" i="17"/>
  <c r="K58" i="17"/>
  <c r="K57" i="17"/>
  <c r="K56" i="17"/>
  <c r="K55" i="17"/>
  <c r="K54" i="17"/>
  <c r="K53" i="17"/>
  <c r="K52" i="17"/>
  <c r="K51" i="17"/>
  <c r="K50" i="17"/>
  <c r="K49" i="17"/>
  <c r="K48" i="17"/>
  <c r="K47" i="17"/>
  <c r="K46" i="17"/>
  <c r="K45" i="17"/>
  <c r="K44" i="17"/>
  <c r="K43" i="17"/>
  <c r="K42" i="17"/>
  <c r="K41" i="17"/>
  <c r="K40" i="17"/>
  <c r="K39" i="17"/>
  <c r="K38" i="17"/>
  <c r="K37" i="17"/>
  <c r="K36" i="17"/>
  <c r="K35" i="17"/>
  <c r="K34" i="17"/>
  <c r="K33" i="17"/>
  <c r="K32" i="17"/>
  <c r="K31" i="17"/>
  <c r="K30" i="17"/>
  <c r="K29" i="17"/>
  <c r="K28" i="17"/>
  <c r="K27" i="17"/>
  <c r="K26" i="17"/>
  <c r="K25" i="17"/>
  <c r="K24" i="17"/>
  <c r="K23" i="17"/>
  <c r="K22" i="17"/>
  <c r="K21" i="17"/>
  <c r="K20" i="17"/>
  <c r="K19" i="17"/>
  <c r="K18" i="17"/>
  <c r="K17" i="17"/>
  <c r="K16" i="17"/>
  <c r="K15" i="17"/>
  <c r="K14" i="17"/>
  <c r="K13" i="17"/>
  <c r="K12" i="17"/>
  <c r="I11" i="17"/>
  <c r="K11" i="17"/>
  <c r="P48" i="4"/>
  <c r="J48" i="4"/>
  <c r="P47" i="4"/>
  <c r="J47" i="4"/>
  <c r="P46" i="4"/>
  <c r="J46" i="4"/>
  <c r="J44" i="4"/>
  <c r="Y71" i="16"/>
  <c r="F25" i="4"/>
  <c r="A23" i="4"/>
  <c r="M98" i="17" l="1"/>
  <c r="L98" i="17"/>
  <c r="J98" i="17"/>
  <c r="M97" i="17"/>
  <c r="L97" i="17"/>
  <c r="J97" i="17"/>
  <c r="M96" i="17"/>
  <c r="L96" i="17"/>
  <c r="J96" i="17"/>
  <c r="M95" i="17"/>
  <c r="L95" i="17"/>
  <c r="J95" i="17"/>
  <c r="M94" i="17"/>
  <c r="L94" i="17"/>
  <c r="J94" i="17"/>
  <c r="M93" i="17"/>
  <c r="L93" i="17"/>
  <c r="J93" i="17"/>
  <c r="M75" i="17"/>
  <c r="L75" i="17"/>
  <c r="J75" i="17"/>
  <c r="M74" i="17"/>
  <c r="L74" i="17"/>
  <c r="J74" i="17"/>
  <c r="M73" i="17"/>
  <c r="L73" i="17"/>
  <c r="J73" i="17"/>
  <c r="M72" i="17"/>
  <c r="L72" i="17"/>
  <c r="J72" i="17"/>
  <c r="M71" i="17"/>
  <c r="L71" i="17"/>
  <c r="J71" i="17"/>
  <c r="M70" i="17"/>
  <c r="L70" i="17"/>
  <c r="J70" i="17"/>
  <c r="M69" i="17"/>
  <c r="L69" i="17"/>
  <c r="J69" i="17"/>
  <c r="M68" i="17"/>
  <c r="L68" i="17"/>
  <c r="J68" i="17"/>
  <c r="M67" i="17"/>
  <c r="L67" i="17"/>
  <c r="J67" i="17"/>
  <c r="M66" i="17"/>
  <c r="L66" i="17"/>
  <c r="J66" i="17"/>
  <c r="M65" i="17"/>
  <c r="L65" i="17"/>
  <c r="J65" i="17"/>
  <c r="M64" i="17"/>
  <c r="L64" i="17"/>
  <c r="J64" i="17"/>
  <c r="M63" i="17"/>
  <c r="L63" i="17"/>
  <c r="J63" i="17"/>
  <c r="M62" i="17"/>
  <c r="L62" i="17"/>
  <c r="J62" i="17"/>
  <c r="M61" i="17"/>
  <c r="L61" i="17"/>
  <c r="J61" i="17"/>
  <c r="M60" i="17"/>
  <c r="L60" i="17"/>
  <c r="J60" i="17"/>
  <c r="M59" i="17"/>
  <c r="L59" i="17"/>
  <c r="J59" i="17"/>
  <c r="M58" i="17"/>
  <c r="L58" i="17"/>
  <c r="J58" i="17"/>
  <c r="M57" i="17"/>
  <c r="L57" i="17"/>
  <c r="J57" i="17"/>
  <c r="M56" i="17"/>
  <c r="L56" i="17"/>
  <c r="J56" i="17"/>
  <c r="M55" i="17"/>
  <c r="L55" i="17"/>
  <c r="J55" i="17"/>
  <c r="M54" i="17"/>
  <c r="L54" i="17"/>
  <c r="J54" i="17"/>
  <c r="M53" i="17"/>
  <c r="L53" i="17"/>
  <c r="J53" i="17"/>
  <c r="M52" i="17"/>
  <c r="L52" i="17"/>
  <c r="J52" i="17"/>
  <c r="M51" i="17"/>
  <c r="L51" i="17"/>
  <c r="J51" i="17"/>
  <c r="M50" i="17"/>
  <c r="L50" i="17"/>
  <c r="J50" i="17"/>
  <c r="M49" i="17"/>
  <c r="L49" i="17"/>
  <c r="J49" i="17"/>
  <c r="M48" i="17"/>
  <c r="L48" i="17"/>
  <c r="J48" i="17"/>
  <c r="M47" i="17"/>
  <c r="L47" i="17"/>
  <c r="J47" i="17"/>
  <c r="M46" i="17"/>
  <c r="L46" i="17"/>
  <c r="J46" i="17"/>
  <c r="M45" i="17"/>
  <c r="L45" i="17"/>
  <c r="J45" i="17"/>
  <c r="M44" i="17"/>
  <c r="L44" i="17"/>
  <c r="J44" i="17"/>
  <c r="M43" i="17"/>
  <c r="L43" i="17"/>
  <c r="J43" i="17"/>
  <c r="M42" i="17"/>
  <c r="L42" i="17"/>
  <c r="J42" i="17"/>
  <c r="M41" i="17"/>
  <c r="L41" i="17"/>
  <c r="J41" i="17"/>
  <c r="M40" i="17"/>
  <c r="L40" i="17"/>
  <c r="J40" i="17"/>
  <c r="M39" i="17"/>
  <c r="L39" i="17"/>
  <c r="J39" i="17"/>
  <c r="M38" i="17"/>
  <c r="L38" i="17"/>
  <c r="J38" i="17"/>
  <c r="M37" i="17"/>
  <c r="L37" i="17"/>
  <c r="J37" i="17"/>
  <c r="M36" i="17"/>
  <c r="L36" i="17"/>
  <c r="J36" i="17"/>
  <c r="M35" i="17"/>
  <c r="L35" i="17"/>
  <c r="J35" i="17"/>
  <c r="M34" i="17"/>
  <c r="L34" i="17"/>
  <c r="J34" i="17"/>
  <c r="M33" i="17"/>
  <c r="L33" i="17"/>
  <c r="J33" i="17"/>
  <c r="M32" i="17"/>
  <c r="L32" i="17"/>
  <c r="J32" i="17"/>
  <c r="M31" i="17"/>
  <c r="L31" i="17"/>
  <c r="J31" i="17"/>
  <c r="M30" i="17"/>
  <c r="L30" i="17"/>
  <c r="J30" i="17"/>
  <c r="M29" i="17"/>
  <c r="L29" i="17"/>
  <c r="J29" i="17"/>
  <c r="M28" i="17"/>
  <c r="L28" i="17"/>
  <c r="J28" i="17"/>
  <c r="M27" i="17"/>
  <c r="L27" i="17"/>
  <c r="J27" i="17"/>
  <c r="M26" i="17"/>
  <c r="L26" i="17"/>
  <c r="J26" i="17"/>
  <c r="M25" i="17"/>
  <c r="L25" i="17"/>
  <c r="J25" i="17"/>
  <c r="M24" i="17"/>
  <c r="L24" i="17"/>
  <c r="J24" i="17"/>
  <c r="M23" i="17"/>
  <c r="L23" i="17"/>
  <c r="J23" i="17"/>
  <c r="M22" i="17"/>
  <c r="L22" i="17"/>
  <c r="J22" i="17"/>
  <c r="M21" i="17"/>
  <c r="L21" i="17"/>
  <c r="J21" i="17"/>
  <c r="M20" i="17"/>
  <c r="L20" i="17"/>
  <c r="J20" i="17"/>
  <c r="M19" i="17"/>
  <c r="L19" i="17"/>
  <c r="J19" i="17"/>
  <c r="M18" i="17"/>
  <c r="L18" i="17"/>
  <c r="J18" i="17"/>
  <c r="M17" i="17"/>
  <c r="L17" i="17"/>
  <c r="J17" i="17"/>
  <c r="M16" i="17"/>
  <c r="L16" i="17"/>
  <c r="J16" i="17"/>
  <c r="M15" i="17"/>
  <c r="L15" i="17"/>
  <c r="J15" i="17"/>
  <c r="M14" i="17"/>
  <c r="L14" i="17"/>
  <c r="J14" i="17"/>
  <c r="M13" i="17"/>
  <c r="L13" i="17"/>
  <c r="J13" i="17"/>
  <c r="M12" i="17"/>
  <c r="L12" i="17"/>
  <c r="J12" i="17"/>
  <c r="M11" i="17"/>
  <c r="L11" i="17"/>
  <c r="J11" i="17"/>
  <c r="AA15" i="14"/>
  <c r="X15" i="14"/>
  <c r="V15" i="14"/>
  <c r="W15" i="14" s="1"/>
  <c r="Y15" i="14" s="1"/>
  <c r="R15" i="14"/>
  <c r="P15" i="14"/>
  <c r="Q15" i="14" s="1"/>
  <c r="S15" i="14" s="1"/>
  <c r="L15" i="14"/>
  <c r="J15" i="14"/>
  <c r="K15" i="14" s="1"/>
  <c r="M15" i="14" s="1"/>
  <c r="AB15" i="14" s="1"/>
  <c r="AC15" i="14" s="1"/>
  <c r="AF14" i="14"/>
  <c r="AA14" i="14"/>
  <c r="X14" i="14"/>
  <c r="V14" i="14"/>
  <c r="W14" i="14" s="1"/>
  <c r="Y14" i="14" s="1"/>
  <c r="P14" i="14"/>
  <c r="J14" i="14"/>
  <c r="R14" i="14"/>
  <c r="Q14" i="14"/>
  <c r="S14" i="14" s="1"/>
  <c r="L14" i="14"/>
  <c r="K14" i="14"/>
  <c r="M14" i="14" s="1"/>
  <c r="AB14" i="14" s="1"/>
  <c r="AC14" i="14" s="1"/>
  <c r="CI69" i="16"/>
  <c r="CH69" i="16"/>
  <c r="CG69" i="16"/>
  <c r="CF69" i="16"/>
  <c r="CE69" i="16"/>
  <c r="CD69" i="16"/>
  <c r="CC69" i="16"/>
  <c r="CB69" i="16"/>
  <c r="CA69" i="16"/>
  <c r="CJ69" i="16" s="1"/>
  <c r="AF69" i="16"/>
  <c r="A69" i="16"/>
  <c r="CI68" i="16"/>
  <c r="CH68" i="16"/>
  <c r="CG68" i="16"/>
  <c r="CF68" i="16"/>
  <c r="CE68" i="16"/>
  <c r="CD68" i="16"/>
  <c r="CC68" i="16"/>
  <c r="CB68" i="16"/>
  <c r="CA68" i="16"/>
  <c r="CJ68" i="16" s="1"/>
  <c r="AF68" i="16"/>
  <c r="A68" i="16"/>
  <c r="CI67" i="16"/>
  <c r="CH67" i="16"/>
  <c r="CG67" i="16"/>
  <c r="CF67" i="16"/>
  <c r="CE67" i="16"/>
  <c r="CD67" i="16"/>
  <c r="CC67" i="16"/>
  <c r="CB67" i="16"/>
  <c r="CA67" i="16"/>
  <c r="CJ67" i="16" s="1"/>
  <c r="AF67" i="16"/>
  <c r="A67" i="16"/>
  <c r="CI66" i="16"/>
  <c r="CH66" i="16"/>
  <c r="CG66" i="16"/>
  <c r="CF66" i="16"/>
  <c r="CE66" i="16"/>
  <c r="CD66" i="16"/>
  <c r="CC66" i="16"/>
  <c r="CB66" i="16"/>
  <c r="CA66" i="16"/>
  <c r="CJ66" i="16" s="1"/>
  <c r="AF66" i="16"/>
  <c r="A66" i="16"/>
  <c r="CI65" i="16"/>
  <c r="CH65" i="16"/>
  <c r="CG65" i="16"/>
  <c r="CF65" i="16"/>
  <c r="CE65" i="16"/>
  <c r="CD65" i="16"/>
  <c r="CC65" i="16"/>
  <c r="CB65" i="16"/>
  <c r="CA65" i="16"/>
  <c r="CJ65" i="16" s="1"/>
  <c r="AF65" i="16"/>
  <c r="A65" i="16"/>
  <c r="CI64" i="16"/>
  <c r="CH64" i="16"/>
  <c r="CG64" i="16"/>
  <c r="CF64" i="16"/>
  <c r="CE64" i="16"/>
  <c r="CD64" i="16"/>
  <c r="CC64" i="16"/>
  <c r="CB64" i="16"/>
  <c r="CA64" i="16"/>
  <c r="CJ64" i="16" s="1"/>
  <c r="AF64" i="16"/>
  <c r="A64" i="16"/>
  <c r="CI63" i="16"/>
  <c r="CH63" i="16"/>
  <c r="CG63" i="16"/>
  <c r="CF63" i="16"/>
  <c r="CE63" i="16"/>
  <c r="CD63" i="16"/>
  <c r="CC63" i="16"/>
  <c r="CB63" i="16"/>
  <c r="CA63" i="16"/>
  <c r="CJ63" i="16" s="1"/>
  <c r="AF63" i="16"/>
  <c r="A63" i="16"/>
  <c r="CI62" i="16"/>
  <c r="CH62" i="16"/>
  <c r="CG62" i="16"/>
  <c r="CF62" i="16"/>
  <c r="CE62" i="16"/>
  <c r="CD62" i="16"/>
  <c r="CC62" i="16"/>
  <c r="CB62" i="16"/>
  <c r="CA62" i="16"/>
  <c r="CJ62" i="16" s="1"/>
  <c r="AF62" i="16"/>
  <c r="A62" i="16"/>
  <c r="CI61" i="16"/>
  <c r="CH61" i="16"/>
  <c r="CG61" i="16"/>
  <c r="CF61" i="16"/>
  <c r="CE61" i="16"/>
  <c r="CD61" i="16"/>
  <c r="CC61" i="16"/>
  <c r="CB61" i="16"/>
  <c r="CA61" i="16"/>
  <c r="CJ61" i="16" s="1"/>
  <c r="AF61" i="16"/>
  <c r="A61" i="16"/>
  <c r="CI60" i="16"/>
  <c r="CH60" i="16"/>
  <c r="CG60" i="16"/>
  <c r="CF60" i="16"/>
  <c r="CE60" i="16"/>
  <c r="CD60" i="16"/>
  <c r="CC60" i="16"/>
  <c r="CB60" i="16"/>
  <c r="CA60" i="16"/>
  <c r="CJ60" i="16" s="1"/>
  <c r="AF60" i="16"/>
  <c r="A60" i="16"/>
  <c r="CI59" i="16"/>
  <c r="CH59" i="16"/>
  <c r="CG59" i="16"/>
  <c r="CF59" i="16"/>
  <c r="CE59" i="16"/>
  <c r="CD59" i="16"/>
  <c r="CC59" i="16"/>
  <c r="CB59" i="16"/>
  <c r="CA59" i="16"/>
  <c r="CJ59" i="16" s="1"/>
  <c r="AF59" i="16"/>
  <c r="A59" i="16"/>
  <c r="CI58" i="16"/>
  <c r="CH58" i="16"/>
  <c r="CG58" i="16"/>
  <c r="CF58" i="16"/>
  <c r="CE58" i="16"/>
  <c r="CD58" i="16"/>
  <c r="CC58" i="16"/>
  <c r="CB58" i="16"/>
  <c r="CA58" i="16"/>
  <c r="CJ58" i="16" s="1"/>
  <c r="AF58" i="16"/>
  <c r="A58" i="16"/>
  <c r="CI57" i="16"/>
  <c r="CH57" i="16"/>
  <c r="CG57" i="16"/>
  <c r="CF57" i="16"/>
  <c r="CE57" i="16"/>
  <c r="CD57" i="16"/>
  <c r="CC57" i="16"/>
  <c r="CB57" i="16"/>
  <c r="CA57" i="16"/>
  <c r="CJ57" i="16" s="1"/>
  <c r="AF57" i="16"/>
  <c r="A57" i="16"/>
  <c r="CI56" i="16"/>
  <c r="CH56" i="16"/>
  <c r="CG56" i="16"/>
  <c r="CF56" i="16"/>
  <c r="CE56" i="16"/>
  <c r="CD56" i="16"/>
  <c r="CC56" i="16"/>
  <c r="CB56" i="16"/>
  <c r="CA56" i="16"/>
  <c r="CJ56" i="16" s="1"/>
  <c r="AF56" i="16"/>
  <c r="A56" i="16"/>
  <c r="CI55" i="16"/>
  <c r="CH55" i="16"/>
  <c r="CG55" i="16"/>
  <c r="CF55" i="16"/>
  <c r="CE55" i="16"/>
  <c r="CD55" i="16"/>
  <c r="CC55" i="16"/>
  <c r="CB55" i="16"/>
  <c r="CA55" i="16"/>
  <c r="CJ55" i="16" s="1"/>
  <c r="AF55" i="16"/>
  <c r="A55" i="16"/>
  <c r="CI54" i="16"/>
  <c r="CH54" i="16"/>
  <c r="CG54" i="16"/>
  <c r="CF54" i="16"/>
  <c r="CE54" i="16"/>
  <c r="CD54" i="16"/>
  <c r="CC54" i="16"/>
  <c r="CB54" i="16"/>
  <c r="CA54" i="16"/>
  <c r="CJ54" i="16" s="1"/>
  <c r="AF54" i="16"/>
  <c r="A54" i="16"/>
  <c r="CI53" i="16"/>
  <c r="CH53" i="16"/>
  <c r="CG53" i="16"/>
  <c r="CF53" i="16"/>
  <c r="CE53" i="16"/>
  <c r="CD53" i="16"/>
  <c r="CC53" i="16"/>
  <c r="CB53" i="16"/>
  <c r="CA53" i="16"/>
  <c r="CJ53" i="16" s="1"/>
  <c r="AF53" i="16"/>
  <c r="A53" i="16"/>
  <c r="CI52" i="16"/>
  <c r="CH52" i="16"/>
  <c r="CG52" i="16"/>
  <c r="CF52" i="16"/>
  <c r="CE52" i="16"/>
  <c r="CD52" i="16"/>
  <c r="CC52" i="16"/>
  <c r="CB52" i="16"/>
  <c r="CA52" i="16"/>
  <c r="CJ52" i="16" s="1"/>
  <c r="AF52" i="16"/>
  <c r="A52" i="16"/>
  <c r="CI51" i="16"/>
  <c r="CH51" i="16"/>
  <c r="CG51" i="16"/>
  <c r="CF51" i="16"/>
  <c r="CE51" i="16"/>
  <c r="CD51" i="16"/>
  <c r="CC51" i="16"/>
  <c r="CB51" i="16"/>
  <c r="CA51" i="16"/>
  <c r="CJ51" i="16" s="1"/>
  <c r="AF51" i="16"/>
  <c r="A51" i="16"/>
  <c r="CI50" i="16"/>
  <c r="CH50" i="16"/>
  <c r="CG50" i="16"/>
  <c r="CF50" i="16"/>
  <c r="CE50" i="16"/>
  <c r="CD50" i="16"/>
  <c r="CC50" i="16"/>
  <c r="CB50" i="16"/>
  <c r="CA50" i="16"/>
  <c r="CJ50" i="16" s="1"/>
  <c r="AF50" i="16"/>
  <c r="A50" i="16"/>
  <c r="CI49" i="16"/>
  <c r="CH49" i="16"/>
  <c r="CG49" i="16"/>
  <c r="CF49" i="16"/>
  <c r="CE49" i="16"/>
  <c r="CD49" i="16"/>
  <c r="CC49" i="16"/>
  <c r="CB49" i="16"/>
  <c r="CA49" i="16"/>
  <c r="CJ49" i="16" s="1"/>
  <c r="AF49" i="16"/>
  <c r="A49" i="16"/>
  <c r="CI48" i="16"/>
  <c r="CH48" i="16"/>
  <c r="CG48" i="16"/>
  <c r="CF48" i="16"/>
  <c r="CE48" i="16"/>
  <c r="CD48" i="16"/>
  <c r="CC48" i="16"/>
  <c r="CB48" i="16"/>
  <c r="CA48" i="16"/>
  <c r="CJ48" i="16" s="1"/>
  <c r="AF48" i="16"/>
  <c r="A48" i="16"/>
  <c r="CI47" i="16"/>
  <c r="CH47" i="16"/>
  <c r="CG47" i="16"/>
  <c r="CF47" i="16"/>
  <c r="CE47" i="16"/>
  <c r="CD47" i="16"/>
  <c r="CC47" i="16"/>
  <c r="CB47" i="16"/>
  <c r="CA47" i="16"/>
  <c r="CJ47" i="16" s="1"/>
  <c r="AF47" i="16"/>
  <c r="A47" i="16"/>
  <c r="CI46" i="16"/>
  <c r="CH46" i="16"/>
  <c r="CG46" i="16"/>
  <c r="CF46" i="16"/>
  <c r="CE46" i="16"/>
  <c r="CD46" i="16"/>
  <c r="CC46" i="16"/>
  <c r="CB46" i="16"/>
  <c r="CA46" i="16"/>
  <c r="CJ46" i="16" s="1"/>
  <c r="AF46" i="16"/>
  <c r="A46" i="16"/>
  <c r="CI45" i="16"/>
  <c r="CH45" i="16"/>
  <c r="CG45" i="16"/>
  <c r="CF45" i="16"/>
  <c r="CE45" i="16"/>
  <c r="CD45" i="16"/>
  <c r="CC45" i="16"/>
  <c r="CB45" i="16"/>
  <c r="CA45" i="16"/>
  <c r="CJ45" i="16" s="1"/>
  <c r="AF45" i="16"/>
  <c r="A45" i="16"/>
  <c r="CI44" i="16"/>
  <c r="CH44" i="16"/>
  <c r="CG44" i="16"/>
  <c r="CF44" i="16"/>
  <c r="CE44" i="16"/>
  <c r="CD44" i="16"/>
  <c r="CC44" i="16"/>
  <c r="CB44" i="16"/>
  <c r="CA44" i="16"/>
  <c r="CJ44" i="16" s="1"/>
  <c r="AF44" i="16"/>
  <c r="A44" i="16"/>
  <c r="CI43" i="16"/>
  <c r="CH43" i="16"/>
  <c r="CG43" i="16"/>
  <c r="CF43" i="16"/>
  <c r="CE43" i="16"/>
  <c r="CD43" i="16"/>
  <c r="CC43" i="16"/>
  <c r="CB43" i="16"/>
  <c r="CA43" i="16"/>
  <c r="CJ43" i="16" s="1"/>
  <c r="AF43" i="16"/>
  <c r="A43" i="16"/>
  <c r="CI42" i="16"/>
  <c r="CH42" i="16"/>
  <c r="CG42" i="16"/>
  <c r="CF42" i="16"/>
  <c r="CE42" i="16"/>
  <c r="CD42" i="16"/>
  <c r="CC42" i="16"/>
  <c r="CB42" i="16"/>
  <c r="CA42" i="16"/>
  <c r="CJ42" i="16" s="1"/>
  <c r="AF42" i="16"/>
  <c r="A42" i="16"/>
  <c r="CI41" i="16"/>
  <c r="CH41" i="16"/>
  <c r="CG41" i="16"/>
  <c r="CF41" i="16"/>
  <c r="CE41" i="16"/>
  <c r="CD41" i="16"/>
  <c r="CC41" i="16"/>
  <c r="CB41" i="16"/>
  <c r="CA41" i="16"/>
  <c r="CJ41" i="16" s="1"/>
  <c r="AF41" i="16"/>
  <c r="A41" i="16"/>
  <c r="CI40" i="16"/>
  <c r="CH40" i="16"/>
  <c r="CG40" i="16"/>
  <c r="CF40" i="16"/>
  <c r="CE40" i="16"/>
  <c r="CD40" i="16"/>
  <c r="CC40" i="16"/>
  <c r="CB40" i="16"/>
  <c r="CA40" i="16"/>
  <c r="CJ40" i="16" s="1"/>
  <c r="AF40" i="16"/>
  <c r="A40" i="16"/>
  <c r="CI39" i="16"/>
  <c r="CH39" i="16"/>
  <c r="CG39" i="16"/>
  <c r="CF39" i="16"/>
  <c r="CE39" i="16"/>
  <c r="CD39" i="16"/>
  <c r="CC39" i="16"/>
  <c r="CB39" i="16"/>
  <c r="CA39" i="16"/>
  <c r="CJ39" i="16" s="1"/>
  <c r="AF39" i="16"/>
  <c r="A39" i="16"/>
  <c r="CI38" i="16"/>
  <c r="CH38" i="16"/>
  <c r="CG38" i="16"/>
  <c r="CF38" i="16"/>
  <c r="CE38" i="16"/>
  <c r="CD38" i="16"/>
  <c r="CC38" i="16"/>
  <c r="CB38" i="16"/>
  <c r="CA38" i="16"/>
  <c r="CJ38" i="16" s="1"/>
  <c r="AF38" i="16"/>
  <c r="A38" i="16"/>
  <c r="CI37" i="16"/>
  <c r="CH37" i="16"/>
  <c r="CG37" i="16"/>
  <c r="CF37" i="16"/>
  <c r="CE37" i="16"/>
  <c r="CD37" i="16"/>
  <c r="CC37" i="16"/>
  <c r="CB37" i="16"/>
  <c r="CA37" i="16"/>
  <c r="CJ37" i="16" s="1"/>
  <c r="AF37" i="16"/>
  <c r="A37" i="16"/>
  <c r="CI36" i="16"/>
  <c r="CH36" i="16"/>
  <c r="CG36" i="16"/>
  <c r="CF36" i="16"/>
  <c r="CE36" i="16"/>
  <c r="CD36" i="16"/>
  <c r="CC36" i="16"/>
  <c r="CB36" i="16"/>
  <c r="CA36" i="16"/>
  <c r="CJ36" i="16" s="1"/>
  <c r="AF36" i="16"/>
  <c r="A36" i="16"/>
  <c r="CI35" i="16"/>
  <c r="CH35" i="16"/>
  <c r="CG35" i="16"/>
  <c r="CF35" i="16"/>
  <c r="CE35" i="16"/>
  <c r="CD35" i="16"/>
  <c r="CC35" i="16"/>
  <c r="CB35" i="16"/>
  <c r="CA35" i="16"/>
  <c r="CJ35" i="16" s="1"/>
  <c r="AF35" i="16"/>
  <c r="A35" i="16"/>
  <c r="CI34" i="16"/>
  <c r="CH34" i="16"/>
  <c r="CG34" i="16"/>
  <c r="CF34" i="16"/>
  <c r="CE34" i="16"/>
  <c r="CD34" i="16"/>
  <c r="CC34" i="16"/>
  <c r="CB34" i="16"/>
  <c r="CA34" i="16"/>
  <c r="CJ34" i="16" s="1"/>
  <c r="AF34" i="16"/>
  <c r="A34" i="16"/>
  <c r="CI33" i="16"/>
  <c r="CH33" i="16"/>
  <c r="CG33" i="16"/>
  <c r="CF33" i="16"/>
  <c r="CE33" i="16"/>
  <c r="CD33" i="16"/>
  <c r="CC33" i="16"/>
  <c r="CB33" i="16"/>
  <c r="CA33" i="16"/>
  <c r="CJ33" i="16" s="1"/>
  <c r="AF33" i="16"/>
  <c r="A33" i="16"/>
  <c r="CI32" i="16"/>
  <c r="CH32" i="16"/>
  <c r="CG32" i="16"/>
  <c r="CF32" i="16"/>
  <c r="CE32" i="16"/>
  <c r="CD32" i="16"/>
  <c r="CC32" i="16"/>
  <c r="CB32" i="16"/>
  <c r="CA32" i="16"/>
  <c r="CJ32" i="16" s="1"/>
  <c r="AF32" i="16"/>
  <c r="A32" i="16"/>
  <c r="CI31" i="16"/>
  <c r="CH31" i="16"/>
  <c r="CG31" i="16"/>
  <c r="CF31" i="16"/>
  <c r="CE31" i="16"/>
  <c r="CD31" i="16"/>
  <c r="CC31" i="16"/>
  <c r="CB31" i="16"/>
  <c r="CA31" i="16"/>
  <c r="CJ31" i="16" s="1"/>
  <c r="AF31" i="16"/>
  <c r="A31" i="16"/>
  <c r="CI30" i="16"/>
  <c r="CH30" i="16"/>
  <c r="CG30" i="16"/>
  <c r="CF30" i="16"/>
  <c r="CE30" i="16"/>
  <c r="CD30" i="16"/>
  <c r="CC30" i="16"/>
  <c r="CB30" i="16"/>
  <c r="CA30" i="16"/>
  <c r="CJ30" i="16" s="1"/>
  <c r="AF30" i="16"/>
  <c r="A30" i="16"/>
  <c r="CI29" i="16"/>
  <c r="CH29" i="16"/>
  <c r="CG29" i="16"/>
  <c r="CF29" i="16"/>
  <c r="CE29" i="16"/>
  <c r="CD29" i="16"/>
  <c r="CC29" i="16"/>
  <c r="CB29" i="16"/>
  <c r="CA29" i="16"/>
  <c r="CJ29" i="16" s="1"/>
  <c r="AF29" i="16"/>
  <c r="A29" i="16"/>
  <c r="CI28" i="16"/>
  <c r="CH28" i="16"/>
  <c r="CG28" i="16"/>
  <c r="CF28" i="16"/>
  <c r="CE28" i="16"/>
  <c r="CD28" i="16"/>
  <c r="CC28" i="16"/>
  <c r="CB28" i="16"/>
  <c r="CA28" i="16"/>
  <c r="CJ28" i="16" s="1"/>
  <c r="AF28" i="16"/>
  <c r="A28" i="16"/>
  <c r="CI27" i="16"/>
  <c r="CH27" i="16"/>
  <c r="CG27" i="16"/>
  <c r="CF27" i="16"/>
  <c r="CE27" i="16"/>
  <c r="CD27" i="16"/>
  <c r="CC27" i="16"/>
  <c r="CB27" i="16"/>
  <c r="CA27" i="16"/>
  <c r="CJ27" i="16" s="1"/>
  <c r="AF27" i="16"/>
  <c r="A27" i="16"/>
  <c r="CI26" i="16"/>
  <c r="CH26" i="16"/>
  <c r="CG26" i="16"/>
  <c r="CF26" i="16"/>
  <c r="CE26" i="16"/>
  <c r="CD26" i="16"/>
  <c r="CC26" i="16"/>
  <c r="CB26" i="16"/>
  <c r="CA26" i="16"/>
  <c r="CJ26" i="16" s="1"/>
  <c r="AF26" i="16"/>
  <c r="A26" i="16"/>
  <c r="CI25" i="16"/>
  <c r="CH25" i="16"/>
  <c r="CG25" i="16"/>
  <c r="CF25" i="16"/>
  <c r="CE25" i="16"/>
  <c r="CD25" i="16"/>
  <c r="CC25" i="16"/>
  <c r="CB25" i="16"/>
  <c r="CA25" i="16"/>
  <c r="CJ25" i="16" s="1"/>
  <c r="AF25" i="16"/>
  <c r="A25" i="16"/>
  <c r="CI24" i="16"/>
  <c r="CH24" i="16"/>
  <c r="CG24" i="16"/>
  <c r="CF24" i="16"/>
  <c r="CE24" i="16"/>
  <c r="CD24" i="16"/>
  <c r="CC24" i="16"/>
  <c r="CB24" i="16"/>
  <c r="CA24" i="16"/>
  <c r="CJ24" i="16" s="1"/>
  <c r="AF24" i="16"/>
  <c r="A24" i="16"/>
  <c r="CI23" i="16"/>
  <c r="CH23" i="16"/>
  <c r="CG23" i="16"/>
  <c r="CF23" i="16"/>
  <c r="CE23" i="16"/>
  <c r="CD23" i="16"/>
  <c r="CC23" i="16"/>
  <c r="CB23" i="16"/>
  <c r="CA23" i="16"/>
  <c r="CJ23" i="16" s="1"/>
  <c r="AF23" i="16"/>
  <c r="A23" i="16"/>
  <c r="CI22" i="16"/>
  <c r="CH22" i="16"/>
  <c r="CG22" i="16"/>
  <c r="CF22" i="16"/>
  <c r="CE22" i="16"/>
  <c r="CD22" i="16"/>
  <c r="CC22" i="16"/>
  <c r="CB22" i="16"/>
  <c r="CA22" i="16"/>
  <c r="CJ22" i="16" s="1"/>
  <c r="AF22" i="16"/>
  <c r="A22" i="16"/>
  <c r="CI21" i="16"/>
  <c r="CH21" i="16"/>
  <c r="CG21" i="16"/>
  <c r="CF21" i="16"/>
  <c r="CE21" i="16"/>
  <c r="CD21" i="16"/>
  <c r="CC21" i="16"/>
  <c r="CB21" i="16"/>
  <c r="CA21" i="16"/>
  <c r="CJ21" i="16" s="1"/>
  <c r="AF21" i="16"/>
  <c r="A21" i="16"/>
  <c r="CI20" i="16"/>
  <c r="CH20" i="16"/>
  <c r="CG20" i="16"/>
  <c r="CF20" i="16"/>
  <c r="CE20" i="16"/>
  <c r="CD20" i="16"/>
  <c r="CC20" i="16"/>
  <c r="CB20" i="16"/>
  <c r="CA20" i="16"/>
  <c r="CJ20" i="16" s="1"/>
  <c r="AF20" i="16"/>
  <c r="A20" i="16"/>
  <c r="CI19" i="16"/>
  <c r="CH19" i="16"/>
  <c r="CG19" i="16"/>
  <c r="CF19" i="16"/>
  <c r="CE19" i="16"/>
  <c r="CD19" i="16"/>
  <c r="CC19" i="16"/>
  <c r="CB19" i="16"/>
  <c r="CA19" i="16"/>
  <c r="CJ19" i="16" s="1"/>
  <c r="AF19" i="16"/>
  <c r="A19" i="16"/>
  <c r="CI18" i="16"/>
  <c r="CH18" i="16"/>
  <c r="CG18" i="16"/>
  <c r="CF18" i="16"/>
  <c r="CE18" i="16"/>
  <c r="CD18" i="16"/>
  <c r="CC18" i="16"/>
  <c r="CB18" i="16"/>
  <c r="CA18" i="16"/>
  <c r="CJ18" i="16" s="1"/>
  <c r="AF18" i="16"/>
  <c r="A18" i="16"/>
  <c r="CI17" i="16"/>
  <c r="CH17" i="16"/>
  <c r="CG17" i="16"/>
  <c r="CF17" i="16"/>
  <c r="CE17" i="16"/>
  <c r="CD17" i="16"/>
  <c r="CC17" i="16"/>
  <c r="CB17" i="16"/>
  <c r="CA17" i="16"/>
  <c r="CJ17" i="16" s="1"/>
  <c r="AF17" i="16"/>
  <c r="A17" i="16"/>
  <c r="CI16" i="16"/>
  <c r="CH16" i="16"/>
  <c r="CG16" i="16"/>
  <c r="CF16" i="16"/>
  <c r="CE16" i="16"/>
  <c r="CD16" i="16"/>
  <c r="CC16" i="16"/>
  <c r="CB16" i="16"/>
  <c r="CA16" i="16"/>
  <c r="CJ16" i="16" s="1"/>
  <c r="AF16" i="16"/>
  <c r="A16" i="16"/>
  <c r="CI15" i="16"/>
  <c r="CH15" i="16"/>
  <c r="CG15" i="16"/>
  <c r="CF15" i="16"/>
  <c r="CE15" i="16"/>
  <c r="CD15" i="16"/>
  <c r="CC15" i="16"/>
  <c r="CB15" i="16"/>
  <c r="CA15" i="16"/>
  <c r="CJ15" i="16" s="1"/>
  <c r="AF15" i="16"/>
  <c r="A15" i="16"/>
  <c r="CI14" i="16"/>
  <c r="CH14" i="16"/>
  <c r="CG14" i="16"/>
  <c r="CF14" i="16"/>
  <c r="CE14" i="16"/>
  <c r="CD14" i="16"/>
  <c r="CC14" i="16"/>
  <c r="CB14" i="16"/>
  <c r="CA14" i="16"/>
  <c r="CJ14" i="16" s="1"/>
  <c r="AF14" i="16"/>
  <c r="A14" i="16"/>
  <c r="CI13" i="16"/>
  <c r="CH13" i="16"/>
  <c r="CG13" i="16"/>
  <c r="CF13" i="16"/>
  <c r="CE13" i="16"/>
  <c r="CD13" i="16"/>
  <c r="CC13" i="16"/>
  <c r="CB13" i="16"/>
  <c r="CA13" i="16"/>
  <c r="CJ13" i="16" s="1"/>
  <c r="AF13" i="16"/>
  <c r="A13" i="16"/>
  <c r="CI12" i="16"/>
  <c r="CH12" i="16"/>
  <c r="CG12" i="16"/>
  <c r="CF12" i="16"/>
  <c r="CE12" i="16"/>
  <c r="CD12" i="16"/>
  <c r="CC12" i="16"/>
  <c r="CB12" i="16"/>
  <c r="CA12" i="16"/>
  <c r="CJ12" i="16" s="1"/>
  <c r="AF12" i="16"/>
  <c r="A12" i="16"/>
  <c r="CI11" i="16"/>
  <c r="CH11" i="16"/>
  <c r="CG11" i="16"/>
  <c r="CF11" i="16"/>
  <c r="CE11" i="16"/>
  <c r="CD11" i="16"/>
  <c r="CC11" i="16"/>
  <c r="CB11" i="16"/>
  <c r="CA11" i="16"/>
  <c r="CJ11" i="16" s="1"/>
  <c r="AF11" i="16"/>
  <c r="A11" i="16"/>
  <c r="CI10" i="16"/>
  <c r="CH10" i="16"/>
  <c r="CG10" i="16"/>
  <c r="CF10" i="16"/>
  <c r="CE10" i="16"/>
  <c r="CD10" i="16"/>
  <c r="CC10" i="16"/>
  <c r="CB10" i="16"/>
  <c r="CA10" i="16"/>
  <c r="CJ10" i="16" s="1"/>
  <c r="AF10" i="16"/>
  <c r="A10" i="16"/>
  <c r="CI9" i="16"/>
  <c r="CH9" i="16"/>
  <c r="CG9" i="16"/>
  <c r="CF9" i="16"/>
  <c r="CE9" i="16"/>
  <c r="CD9" i="16"/>
  <c r="CC9" i="16"/>
  <c r="CB9" i="16"/>
  <c r="CA9" i="16"/>
  <c r="CJ9" i="16" s="1"/>
  <c r="AF9" i="16"/>
  <c r="A9" i="16"/>
  <c r="AB5" i="16"/>
  <c r="AB4" i="16"/>
  <c r="AB6" i="16" s="1"/>
  <c r="CI9" i="14"/>
  <c r="CH9" i="14"/>
  <c r="CG9" i="14"/>
  <c r="CF9" i="14"/>
  <c r="CE9" i="14"/>
  <c r="CD9" i="14"/>
  <c r="CC9" i="14"/>
  <c r="CB9" i="14"/>
  <c r="CK9" i="14" s="1"/>
  <c r="CA9" i="14"/>
  <c r="CJ9" i="14" s="1"/>
  <c r="AF9" i="14"/>
  <c r="X11" i="14"/>
  <c r="V11" i="14"/>
  <c r="W11" i="14" s="1"/>
  <c r="Y11" i="14" s="1"/>
  <c r="R11" i="14"/>
  <c r="P11" i="14"/>
  <c r="Q11" i="14" s="1"/>
  <c r="S11" i="14" s="1"/>
  <c r="L11" i="14"/>
  <c r="J11" i="14"/>
  <c r="K11" i="14" s="1"/>
  <c r="N10" i="14"/>
  <c r="H10" i="14"/>
  <c r="CI13" i="14"/>
  <c r="CH13" i="14"/>
  <c r="CG13" i="14"/>
  <c r="CF13" i="14"/>
  <c r="CE13" i="14"/>
  <c r="CD13" i="14"/>
  <c r="CC13" i="14"/>
  <c r="CB13" i="14"/>
  <c r="CA13" i="14"/>
  <c r="CJ13" i="14" s="1"/>
  <c r="AF13" i="14"/>
  <c r="CI12" i="14"/>
  <c r="CH12" i="14"/>
  <c r="CG12" i="14"/>
  <c r="CF12" i="14"/>
  <c r="CE12" i="14"/>
  <c r="CD12" i="14"/>
  <c r="CC12" i="14"/>
  <c r="CB12" i="14"/>
  <c r="CA12" i="14"/>
  <c r="CJ12" i="14" s="1"/>
  <c r="AF12" i="14"/>
  <c r="CI11" i="14"/>
  <c r="CH11" i="14"/>
  <c r="CG11" i="14"/>
  <c r="CF11" i="14"/>
  <c r="CE11" i="14"/>
  <c r="CD11" i="14"/>
  <c r="CC11" i="14"/>
  <c r="CB11" i="14"/>
  <c r="CA11" i="14"/>
  <c r="CJ11" i="14" s="1"/>
  <c r="AF11" i="14"/>
  <c r="CI10" i="14"/>
  <c r="CH10" i="14"/>
  <c r="CG10" i="14"/>
  <c r="CF10" i="14"/>
  <c r="CE10" i="14"/>
  <c r="CD10" i="14"/>
  <c r="CC10" i="14"/>
  <c r="CB10" i="14"/>
  <c r="CA10" i="14"/>
  <c r="CJ10" i="14" s="1"/>
  <c r="AF10" i="14"/>
  <c r="AB5" i="14"/>
  <c r="I116" i="4"/>
  <c r="J99" i="4"/>
  <c r="X86" i="4"/>
  <c r="W86" i="4"/>
  <c r="Y86" i="4" s="1"/>
  <c r="R86" i="4"/>
  <c r="Q86" i="4"/>
  <c r="S86" i="4" s="1"/>
  <c r="L86" i="4"/>
  <c r="K86" i="4"/>
  <c r="X80" i="4"/>
  <c r="V80" i="4"/>
  <c r="W80" i="4" s="1"/>
  <c r="Y80" i="4" s="1"/>
  <c r="R80" i="4"/>
  <c r="P80" i="4"/>
  <c r="Q80" i="4" s="1"/>
  <c r="S80" i="4" s="1"/>
  <c r="L80" i="4"/>
  <c r="J80" i="4"/>
  <c r="K80" i="4" s="1"/>
  <c r="M80" i="4" s="1"/>
  <c r="X81" i="4"/>
  <c r="X82" i="4"/>
  <c r="X76" i="4"/>
  <c r="X77" i="4"/>
  <c r="X78" i="4"/>
  <c r="X79" i="4"/>
  <c r="X72" i="4"/>
  <c r="X73" i="4"/>
  <c r="X74" i="4"/>
  <c r="X75" i="4"/>
  <c r="V77" i="4"/>
  <c r="W77" i="4" s="1"/>
  <c r="Y77" i="4" s="1"/>
  <c r="V78" i="4"/>
  <c r="W78" i="4" s="1"/>
  <c r="Y78" i="4" s="1"/>
  <c r="V79" i="4"/>
  <c r="W79" i="4" s="1"/>
  <c r="Y79" i="4" s="1"/>
  <c r="V81" i="4"/>
  <c r="W81" i="4" s="1"/>
  <c r="Y81" i="4" s="1"/>
  <c r="V82" i="4"/>
  <c r="W82" i="4" s="1"/>
  <c r="Y82" i="4" s="1"/>
  <c r="V73" i="4"/>
  <c r="W73" i="4" s="1"/>
  <c r="Y73" i="4" s="1"/>
  <c r="V74" i="4"/>
  <c r="W74" i="4" s="1"/>
  <c r="Y74" i="4" s="1"/>
  <c r="V75" i="4"/>
  <c r="W75" i="4" s="1"/>
  <c r="Y75" i="4" s="1"/>
  <c r="V76" i="4"/>
  <c r="W76" i="4" s="1"/>
  <c r="Y76" i="4" s="1"/>
  <c r="V72" i="4"/>
  <c r="W72" i="4" s="1"/>
  <c r="Y72" i="4" s="1"/>
  <c r="R76" i="4"/>
  <c r="R77" i="4"/>
  <c r="R78" i="4"/>
  <c r="R79" i="4"/>
  <c r="R81" i="4"/>
  <c r="R82" i="4"/>
  <c r="R72" i="4"/>
  <c r="R73" i="4"/>
  <c r="R74" i="4"/>
  <c r="R75" i="4"/>
  <c r="P81" i="4"/>
  <c r="Q81" i="4" s="1"/>
  <c r="S81" i="4" s="1"/>
  <c r="P82" i="4"/>
  <c r="Q82" i="4" s="1"/>
  <c r="S82" i="4" s="1"/>
  <c r="P76" i="4"/>
  <c r="Q76" i="4" s="1"/>
  <c r="S76" i="4" s="1"/>
  <c r="P77" i="4"/>
  <c r="Q77" i="4" s="1"/>
  <c r="S77" i="4" s="1"/>
  <c r="P78" i="4"/>
  <c r="Q78" i="4" s="1"/>
  <c r="S78" i="4" s="1"/>
  <c r="P79" i="4"/>
  <c r="Q79" i="4" s="1"/>
  <c r="S79" i="4" s="1"/>
  <c r="P73" i="4"/>
  <c r="Q73" i="4" s="1"/>
  <c r="S73" i="4" s="1"/>
  <c r="P74" i="4"/>
  <c r="Q74" i="4" s="1"/>
  <c r="S74" i="4" s="1"/>
  <c r="P75" i="4"/>
  <c r="Q75" i="4" s="1"/>
  <c r="S75" i="4" s="1"/>
  <c r="P72" i="4"/>
  <c r="Q72" i="4" s="1"/>
  <c r="S72" i="4" s="1"/>
  <c r="L72" i="4"/>
  <c r="L73" i="4"/>
  <c r="L74" i="4"/>
  <c r="L75" i="4"/>
  <c r="L76" i="4"/>
  <c r="L77" i="4"/>
  <c r="L78" i="4"/>
  <c r="L79" i="4"/>
  <c r="L81" i="4"/>
  <c r="L82" i="4"/>
  <c r="I83" i="4"/>
  <c r="J72" i="4"/>
  <c r="K72" i="4" s="1"/>
  <c r="J73" i="4"/>
  <c r="K73" i="4" s="1"/>
  <c r="J74" i="4"/>
  <c r="K74" i="4" s="1"/>
  <c r="J75" i="4"/>
  <c r="K75" i="4" s="1"/>
  <c r="J76" i="4"/>
  <c r="K76" i="4" s="1"/>
  <c r="J77" i="4"/>
  <c r="K77" i="4" s="1"/>
  <c r="J78" i="4"/>
  <c r="K78" i="4" s="1"/>
  <c r="K79" i="4"/>
  <c r="J81" i="4"/>
  <c r="K81" i="4" s="1"/>
  <c r="J82" i="4"/>
  <c r="K82" i="4" s="1"/>
  <c r="X56" i="4"/>
  <c r="V56" i="4"/>
  <c r="W56" i="4" s="1"/>
  <c r="Y56" i="4" s="1"/>
  <c r="R56" i="4"/>
  <c r="P56" i="4"/>
  <c r="Q56" i="4" s="1"/>
  <c r="S56" i="4" s="1"/>
  <c r="L56" i="4"/>
  <c r="J56" i="4"/>
  <c r="K56" i="4" s="1"/>
  <c r="M56" i="4" s="1"/>
  <c r="X62" i="4"/>
  <c r="V62" i="4"/>
  <c r="W62" i="4" s="1"/>
  <c r="Y62" i="4" s="1"/>
  <c r="R62" i="4"/>
  <c r="P62" i="4"/>
  <c r="Q62" i="4" s="1"/>
  <c r="S62" i="4" s="1"/>
  <c r="L62" i="4"/>
  <c r="J62" i="4"/>
  <c r="K62" i="4" s="1"/>
  <c r="M62" i="4" s="1"/>
  <c r="X36" i="4"/>
  <c r="V36" i="4"/>
  <c r="W36" i="4" s="1"/>
  <c r="Y36" i="4" s="1"/>
  <c r="R36" i="4"/>
  <c r="P36" i="4"/>
  <c r="Q36" i="4" s="1"/>
  <c r="S36" i="4" s="1"/>
  <c r="L36" i="4"/>
  <c r="J36" i="4"/>
  <c r="K36" i="4" s="1"/>
  <c r="M36" i="4" s="1"/>
  <c r="V26" i="4"/>
  <c r="W26" i="4" s="1"/>
  <c r="Y26" i="4" s="1"/>
  <c r="J26" i="4"/>
  <c r="K26" i="4" s="1"/>
  <c r="M26" i="4" s="1"/>
  <c r="L17" i="4"/>
  <c r="J12" i="4"/>
  <c r="K12" i="4" s="1"/>
  <c r="M12" i="4" s="1"/>
  <c r="L12" i="4"/>
  <c r="P12" i="4"/>
  <c r="Q12" i="4" s="1"/>
  <c r="S12" i="4" s="1"/>
  <c r="R12" i="4"/>
  <c r="V12" i="4"/>
  <c r="W12" i="4" s="1"/>
  <c r="Y12" i="4" s="1"/>
  <c r="X12" i="4"/>
  <c r="J13" i="4"/>
  <c r="K13" i="4" s="1"/>
  <c r="M13" i="4" s="1"/>
  <c r="L13" i="4"/>
  <c r="P13" i="4"/>
  <c r="Q13" i="4" s="1"/>
  <c r="S13" i="4" s="1"/>
  <c r="R13" i="4"/>
  <c r="V13" i="4"/>
  <c r="W13" i="4" s="1"/>
  <c r="Y13" i="4" s="1"/>
  <c r="X13" i="4"/>
  <c r="J14" i="4"/>
  <c r="K14" i="4" s="1"/>
  <c r="M14" i="4" s="1"/>
  <c r="L14" i="4"/>
  <c r="P14" i="4"/>
  <c r="Q14" i="4" s="1"/>
  <c r="S14" i="4" s="1"/>
  <c r="R14" i="4"/>
  <c r="V14" i="4"/>
  <c r="W14" i="4" s="1"/>
  <c r="Y14" i="4" s="1"/>
  <c r="X14" i="4"/>
  <c r="K15" i="4"/>
  <c r="M15" i="4" s="1"/>
  <c r="L15" i="4"/>
  <c r="Q15" i="4"/>
  <c r="S15" i="4" s="1"/>
  <c r="R15" i="4"/>
  <c r="V15" i="4"/>
  <c r="W15" i="4" s="1"/>
  <c r="Y15" i="4" s="1"/>
  <c r="X15" i="4"/>
  <c r="H16" i="4"/>
  <c r="N16" i="4"/>
  <c r="T16" i="4"/>
  <c r="K17" i="4"/>
  <c r="M17" i="4" s="1"/>
  <c r="Q17" i="4"/>
  <c r="S17" i="4" s="1"/>
  <c r="R17" i="4"/>
  <c r="W17" i="4"/>
  <c r="X17" i="4"/>
  <c r="Y17" i="4"/>
  <c r="H18" i="4"/>
  <c r="N18" i="4"/>
  <c r="T18" i="4"/>
  <c r="H19" i="4"/>
  <c r="N19" i="4"/>
  <c r="T19" i="4"/>
  <c r="H20" i="4"/>
  <c r="N20" i="4"/>
  <c r="T20" i="4"/>
  <c r="H21" i="4"/>
  <c r="N21" i="4"/>
  <c r="T21" i="4"/>
  <c r="H22" i="4"/>
  <c r="N22" i="4"/>
  <c r="T22" i="4"/>
  <c r="J23" i="4"/>
  <c r="K23" i="4" s="1"/>
  <c r="M23" i="4" s="1"/>
  <c r="L23" i="4"/>
  <c r="P23" i="4"/>
  <c r="Q23" i="4" s="1"/>
  <c r="S23" i="4" s="1"/>
  <c r="R23" i="4"/>
  <c r="V23" i="4"/>
  <c r="W23" i="4"/>
  <c r="X23" i="4"/>
  <c r="Y23" i="4"/>
  <c r="J24" i="4"/>
  <c r="K24" i="4"/>
  <c r="M24" i="4" s="1"/>
  <c r="L24" i="4"/>
  <c r="P24" i="4"/>
  <c r="Q24" i="4" s="1"/>
  <c r="S24" i="4" s="1"/>
  <c r="R24" i="4"/>
  <c r="V24" i="4"/>
  <c r="W24" i="4" s="1"/>
  <c r="Y24" i="4" s="1"/>
  <c r="X24" i="4"/>
  <c r="J25" i="4"/>
  <c r="K25" i="4"/>
  <c r="M25" i="4" s="1"/>
  <c r="L25" i="4"/>
  <c r="P25" i="4"/>
  <c r="Q25" i="4" s="1"/>
  <c r="S25" i="4" s="1"/>
  <c r="R25" i="4"/>
  <c r="V25" i="4"/>
  <c r="W25" i="4" s="1"/>
  <c r="Y25" i="4" s="1"/>
  <c r="X25" i="4"/>
  <c r="L26" i="4"/>
  <c r="P26" i="4"/>
  <c r="Q26" i="4"/>
  <c r="R26" i="4"/>
  <c r="S26" i="4"/>
  <c r="X26" i="4"/>
  <c r="H27" i="4"/>
  <c r="N27" i="4"/>
  <c r="N28" i="4"/>
  <c r="O28" i="4"/>
  <c r="T28" i="4"/>
  <c r="U28" i="4"/>
  <c r="X28" i="4" s="1"/>
  <c r="J115" i="4"/>
  <c r="J114" i="4"/>
  <c r="J113" i="4"/>
  <c r="J112" i="4"/>
  <c r="J111" i="4"/>
  <c r="J110" i="4"/>
  <c r="J109" i="4"/>
  <c r="J108" i="4"/>
  <c r="J107" i="4"/>
  <c r="J106" i="4"/>
  <c r="J105" i="4"/>
  <c r="J104" i="4"/>
  <c r="J103" i="4"/>
  <c r="J102" i="4"/>
  <c r="J101" i="4"/>
  <c r="J98" i="4"/>
  <c r="J97" i="4"/>
  <c r="J96" i="4"/>
  <c r="J95" i="4"/>
  <c r="J94" i="4"/>
  <c r="J93" i="4"/>
  <c r="T84" i="4"/>
  <c r="N84" i="4"/>
  <c r="H84" i="4"/>
  <c r="T85" i="4"/>
  <c r="N85" i="4"/>
  <c r="H85" i="4"/>
  <c r="U83" i="4"/>
  <c r="T83" i="4"/>
  <c r="O83" i="4"/>
  <c r="N83" i="4"/>
  <c r="T71" i="4"/>
  <c r="N71" i="4"/>
  <c r="H71" i="4"/>
  <c r="X66" i="4"/>
  <c r="V66" i="4"/>
  <c r="W66" i="4" s="1"/>
  <c r="Y66" i="4" s="1"/>
  <c r="R66" i="4"/>
  <c r="P66" i="4"/>
  <c r="Q66" i="4" s="1"/>
  <c r="S66" i="4" s="1"/>
  <c r="L66" i="4"/>
  <c r="J66" i="4"/>
  <c r="K66" i="4" s="1"/>
  <c r="T60" i="4"/>
  <c r="O60" i="4"/>
  <c r="N60" i="4"/>
  <c r="X59" i="4"/>
  <c r="V59" i="4"/>
  <c r="W59" i="4" s="1"/>
  <c r="Y59" i="4" s="1"/>
  <c r="R59" i="4"/>
  <c r="P59" i="4"/>
  <c r="Q59" i="4" s="1"/>
  <c r="S59" i="4" s="1"/>
  <c r="L59" i="4"/>
  <c r="J59" i="4"/>
  <c r="K59" i="4" s="1"/>
  <c r="M59" i="4" s="1"/>
  <c r="N29" i="4"/>
  <c r="AF28" i="4"/>
  <c r="AB11" i="4"/>
  <c r="Z11" i="4"/>
  <c r="AA11" i="4" s="1"/>
  <c r="CI11" i="4"/>
  <c r="CH11" i="4"/>
  <c r="CQ11" i="4" s="1"/>
  <c r="CG11" i="4"/>
  <c r="CP11" i="4" s="1"/>
  <c r="CF11" i="4"/>
  <c r="CO11" i="4" s="1"/>
  <c r="CE11" i="4"/>
  <c r="CN11" i="4" s="1"/>
  <c r="CD11" i="4"/>
  <c r="CM11" i="4" s="1"/>
  <c r="CC11" i="4"/>
  <c r="CL11" i="4" s="1"/>
  <c r="CB11" i="4"/>
  <c r="CK11" i="4" s="1"/>
  <c r="CA11" i="4"/>
  <c r="CJ11" i="4" s="1"/>
  <c r="AF11" i="4"/>
  <c r="N10" i="4"/>
  <c r="H10" i="4"/>
  <c r="A10" i="4"/>
  <c r="T10" i="4"/>
  <c r="AX13" i="12"/>
  <c r="AX21" i="12"/>
  <c r="AX22" i="12"/>
  <c r="AX23" i="12"/>
  <c r="AX24" i="12"/>
  <c r="AX25" i="12"/>
  <c r="AX26" i="12"/>
  <c r="AX28" i="12"/>
  <c r="AX29" i="12"/>
  <c r="AX30" i="12"/>
  <c r="AX31" i="12"/>
  <c r="AX32" i="12"/>
  <c r="AX33" i="12"/>
  <c r="AX34" i="12"/>
  <c r="AX35" i="12"/>
  <c r="AX36" i="12"/>
  <c r="AX37" i="12"/>
  <c r="AX38" i="12"/>
  <c r="AX39" i="12"/>
  <c r="AX40" i="12"/>
  <c r="AX41" i="12"/>
  <c r="AX42" i="12"/>
  <c r="AX43" i="12"/>
  <c r="AX44" i="12"/>
  <c r="AX45" i="12"/>
  <c r="AX47" i="12"/>
  <c r="AX48" i="12"/>
  <c r="AX49" i="12"/>
  <c r="AX50" i="12"/>
  <c r="AX52" i="12"/>
  <c r="AX53" i="12"/>
  <c r="AX57" i="12"/>
  <c r="AX61" i="12"/>
  <c r="AX62" i="12"/>
  <c r="AX63" i="12"/>
  <c r="AX64" i="12"/>
  <c r="AX68" i="12"/>
  <c r="AX70" i="12"/>
  <c r="AX71" i="12"/>
  <c r="AX76" i="12"/>
  <c r="AX77" i="12"/>
  <c r="AX78" i="12"/>
  <c r="AX79" i="12"/>
  <c r="AX80" i="12"/>
  <c r="AX81" i="12"/>
  <c r="AX83" i="12"/>
  <c r="AX84" i="12"/>
  <c r="AX86" i="12"/>
  <c r="AX105" i="12"/>
  <c r="AX106" i="12"/>
  <c r="AX109" i="12"/>
  <c r="AX120" i="12"/>
  <c r="AX121" i="12"/>
  <c r="AX129" i="12"/>
  <c r="AX130" i="12"/>
  <c r="AX131" i="12"/>
  <c r="AX132" i="12"/>
  <c r="AX137" i="12"/>
  <c r="AX154" i="12"/>
  <c r="AX158" i="12"/>
  <c r="AX163" i="12"/>
  <c r="AX164" i="12"/>
  <c r="AX168" i="12"/>
  <c r="AX185" i="12"/>
  <c r="AX192" i="12"/>
  <c r="AX193" i="12"/>
  <c r="AX196" i="12"/>
  <c r="AX197" i="12"/>
  <c r="AV212" i="12"/>
  <c r="AW212" i="12"/>
  <c r="AX212" i="12"/>
  <c r="AX213" i="12"/>
  <c r="AX214" i="12"/>
  <c r="AX215" i="12"/>
  <c r="AX216" i="12"/>
  <c r="AX231" i="12"/>
  <c r="AX233" i="12"/>
  <c r="AX234" i="12"/>
  <c r="AX235" i="12"/>
  <c r="AV248" i="12"/>
  <c r="AW248" i="12"/>
  <c r="AX248" i="12"/>
  <c r="AV249" i="12"/>
  <c r="AW249" i="12" s="1"/>
  <c r="AX249" i="12"/>
  <c r="AV250" i="12"/>
  <c r="AW250" i="12"/>
  <c r="AX250" i="12"/>
  <c r="AV251" i="12"/>
  <c r="AW251" i="12" s="1"/>
  <c r="AX251" i="12"/>
  <c r="AV252" i="12"/>
  <c r="AW252" i="12"/>
  <c r="AX252" i="12"/>
  <c r="AV253" i="12"/>
  <c r="AW253" i="12"/>
  <c r="AX253" i="12"/>
  <c r="AV254" i="12"/>
  <c r="AW254" i="12"/>
  <c r="AX254" i="12"/>
  <c r="AV255" i="12"/>
  <c r="AW255" i="12"/>
  <c r="AX255" i="12"/>
  <c r="AV256" i="12"/>
  <c r="AW256" i="12"/>
  <c r="AX256" i="12"/>
  <c r="AV257" i="12"/>
  <c r="AW257" i="12"/>
  <c r="AX257" i="12"/>
  <c r="AV258" i="12"/>
  <c r="AW258" i="12"/>
  <c r="AX258" i="12"/>
  <c r="AV259" i="12"/>
  <c r="AW259" i="12"/>
  <c r="AX259" i="12"/>
  <c r="AV260" i="12"/>
  <c r="AW260" i="12"/>
  <c r="AX260" i="12"/>
  <c r="AV261" i="12"/>
  <c r="AW261" i="12"/>
  <c r="AX261" i="12"/>
  <c r="AV262" i="12"/>
  <c r="AW262" i="12" s="1"/>
  <c r="AX262" i="12"/>
  <c r="AV263" i="12"/>
  <c r="AW263" i="12"/>
  <c r="AX263" i="12"/>
  <c r="AV264" i="12"/>
  <c r="AW264" i="12" s="1"/>
  <c r="AX264" i="12"/>
  <c r="AV265" i="12"/>
  <c r="AW265" i="12" s="1"/>
  <c r="AX265" i="12"/>
  <c r="AV266" i="12"/>
  <c r="AW266" i="12"/>
  <c r="AX266" i="12"/>
  <c r="AV267" i="12"/>
  <c r="AW267" i="12" s="1"/>
  <c r="AX267" i="12"/>
  <c r="AV268" i="12"/>
  <c r="AW268" i="12"/>
  <c r="AX268" i="12"/>
  <c r="AV269" i="12"/>
  <c r="AW269" i="12"/>
  <c r="AX269" i="12"/>
  <c r="AV270" i="12"/>
  <c r="AW270" i="12"/>
  <c r="AX270" i="12"/>
  <c r="AV271" i="12"/>
  <c r="AW271" i="12"/>
  <c r="AX271" i="12"/>
  <c r="AV272" i="12"/>
  <c r="AW272" i="12"/>
  <c r="AX272" i="12"/>
  <c r="AV273" i="12"/>
  <c r="AW273" i="12"/>
  <c r="AX273" i="12"/>
  <c r="AV274" i="12"/>
  <c r="AW274" i="12"/>
  <c r="AX274" i="12"/>
  <c r="AV275" i="12"/>
  <c r="AW275" i="12"/>
  <c r="AX275" i="12"/>
  <c r="AV276" i="12"/>
  <c r="AW276" i="12"/>
  <c r="AX276" i="12"/>
  <c r="AV277" i="12"/>
  <c r="AW277" i="12"/>
  <c r="AX277" i="12"/>
  <c r="AV278" i="12"/>
  <c r="AW278" i="12" s="1"/>
  <c r="AX278" i="12"/>
  <c r="AV279" i="12"/>
  <c r="AW279" i="12"/>
  <c r="AX279" i="12"/>
  <c r="AV280" i="12"/>
  <c r="AW280" i="12" s="1"/>
  <c r="AX280" i="12"/>
  <c r="AV281" i="12"/>
  <c r="AW281" i="12" s="1"/>
  <c r="AX281" i="12"/>
  <c r="AV282" i="12"/>
  <c r="AW282" i="12"/>
  <c r="AX282" i="12"/>
  <c r="M11" i="14" l="1"/>
  <c r="AB11" i="14" s="1"/>
  <c r="Z11" i="14"/>
  <c r="AA11" i="14" s="1"/>
  <c r="AB80" i="4"/>
  <c r="AB12" i="4"/>
  <c r="AB14" i="4"/>
  <c r="AB13" i="4"/>
  <c r="V28" i="4"/>
  <c r="W28" i="4" s="1"/>
  <c r="Y28" i="4" s="1"/>
  <c r="Z80" i="4"/>
  <c r="AA80" i="4" s="1"/>
  <c r="AC80" i="4" s="1"/>
  <c r="CK9" i="16"/>
  <c r="CL9" i="16"/>
  <c r="CM9" i="16"/>
  <c r="CN9" i="16"/>
  <c r="CO9" i="16"/>
  <c r="CP9" i="16"/>
  <c r="CQ9" i="16"/>
  <c r="CR9" i="16"/>
  <c r="CK10" i="16"/>
  <c r="CL10" i="16"/>
  <c r="CM10" i="16"/>
  <c r="CN10" i="16"/>
  <c r="CO10" i="16"/>
  <c r="CP10" i="16"/>
  <c r="CQ10" i="16"/>
  <c r="CR10" i="16"/>
  <c r="CK11" i="16"/>
  <c r="CL11" i="16"/>
  <c r="CM11" i="16"/>
  <c r="CN11" i="16"/>
  <c r="CO11" i="16"/>
  <c r="CP11" i="16"/>
  <c r="CQ11" i="16"/>
  <c r="CR11" i="16"/>
  <c r="CK12" i="16"/>
  <c r="CL12" i="16"/>
  <c r="CM12" i="16"/>
  <c r="CN12" i="16"/>
  <c r="CO12" i="16"/>
  <c r="CP12" i="16"/>
  <c r="CQ12" i="16"/>
  <c r="CR12" i="16"/>
  <c r="CK13" i="16"/>
  <c r="CL13" i="16"/>
  <c r="CM13" i="16"/>
  <c r="CN13" i="16"/>
  <c r="CO13" i="16"/>
  <c r="CP13" i="16"/>
  <c r="CQ13" i="16"/>
  <c r="CR13" i="16"/>
  <c r="CK14" i="16"/>
  <c r="CL14" i="16"/>
  <c r="CM14" i="16"/>
  <c r="CN14" i="16"/>
  <c r="CO14" i="16"/>
  <c r="CP14" i="16"/>
  <c r="CQ14" i="16"/>
  <c r="CR14" i="16"/>
  <c r="CK15" i="16"/>
  <c r="CL15" i="16"/>
  <c r="CM15" i="16"/>
  <c r="CN15" i="16"/>
  <c r="CO15" i="16"/>
  <c r="CP15" i="16"/>
  <c r="CQ15" i="16"/>
  <c r="CR15" i="16"/>
  <c r="CK16" i="16"/>
  <c r="CL16" i="16"/>
  <c r="CM16" i="16"/>
  <c r="CN16" i="16"/>
  <c r="CO16" i="16"/>
  <c r="CP16" i="16"/>
  <c r="CQ16" i="16"/>
  <c r="CR16" i="16"/>
  <c r="CK17" i="16"/>
  <c r="CL17" i="16"/>
  <c r="CM17" i="16"/>
  <c r="CN17" i="16"/>
  <c r="CO17" i="16"/>
  <c r="CP17" i="16"/>
  <c r="CQ17" i="16"/>
  <c r="CR17" i="16"/>
  <c r="CK18" i="16"/>
  <c r="CL18" i="16"/>
  <c r="CM18" i="16"/>
  <c r="CN18" i="16"/>
  <c r="CO18" i="16"/>
  <c r="CP18" i="16"/>
  <c r="CQ18" i="16"/>
  <c r="CR18" i="16"/>
  <c r="CK19" i="16"/>
  <c r="CL19" i="16"/>
  <c r="CM19" i="16"/>
  <c r="CN19" i="16"/>
  <c r="CO19" i="16"/>
  <c r="CP19" i="16"/>
  <c r="CQ19" i="16"/>
  <c r="CR19" i="16"/>
  <c r="CK20" i="16"/>
  <c r="CL20" i="16"/>
  <c r="CM20" i="16"/>
  <c r="CN20" i="16"/>
  <c r="CO20" i="16"/>
  <c r="CP20" i="16"/>
  <c r="CQ20" i="16"/>
  <c r="CR20" i="16"/>
  <c r="CK21" i="16"/>
  <c r="CL21" i="16"/>
  <c r="CM21" i="16"/>
  <c r="CN21" i="16"/>
  <c r="CO21" i="16"/>
  <c r="CP21" i="16"/>
  <c r="CQ21" i="16"/>
  <c r="CR21" i="16"/>
  <c r="CK22" i="16"/>
  <c r="CL22" i="16"/>
  <c r="CM22" i="16"/>
  <c r="CN22" i="16"/>
  <c r="CO22" i="16"/>
  <c r="CP22" i="16"/>
  <c r="CQ22" i="16"/>
  <c r="CR22" i="16"/>
  <c r="CK23" i="16"/>
  <c r="CL23" i="16"/>
  <c r="CM23" i="16"/>
  <c r="CN23" i="16"/>
  <c r="CO23" i="16"/>
  <c r="CP23" i="16"/>
  <c r="CQ23" i="16"/>
  <c r="CR23" i="16"/>
  <c r="CK24" i="16"/>
  <c r="CL24" i="16"/>
  <c r="CM24" i="16"/>
  <c r="CN24" i="16"/>
  <c r="CO24" i="16"/>
  <c r="CP24" i="16"/>
  <c r="CQ24" i="16"/>
  <c r="CR24" i="16"/>
  <c r="CK25" i="16"/>
  <c r="CL25" i="16"/>
  <c r="CM25" i="16"/>
  <c r="CN25" i="16"/>
  <c r="CO25" i="16"/>
  <c r="CP25" i="16"/>
  <c r="CQ25" i="16"/>
  <c r="CR25" i="16"/>
  <c r="CK26" i="16"/>
  <c r="CL26" i="16"/>
  <c r="CM26" i="16"/>
  <c r="CN26" i="16"/>
  <c r="CO26" i="16"/>
  <c r="CP26" i="16"/>
  <c r="CQ26" i="16"/>
  <c r="CR26" i="16"/>
  <c r="CK27" i="16"/>
  <c r="CL27" i="16"/>
  <c r="CM27" i="16"/>
  <c r="CN27" i="16"/>
  <c r="CO27" i="16"/>
  <c r="CP27" i="16"/>
  <c r="CQ27" i="16"/>
  <c r="CR27" i="16"/>
  <c r="CK28" i="16"/>
  <c r="CL28" i="16"/>
  <c r="CM28" i="16"/>
  <c r="CN28" i="16"/>
  <c r="CO28" i="16"/>
  <c r="CP28" i="16"/>
  <c r="CQ28" i="16"/>
  <c r="CR28" i="16"/>
  <c r="CK29" i="16"/>
  <c r="CL29" i="16"/>
  <c r="CM29" i="16"/>
  <c r="CN29" i="16"/>
  <c r="CO29" i="16"/>
  <c r="CP29" i="16"/>
  <c r="CQ29" i="16"/>
  <c r="CR29" i="16"/>
  <c r="CK30" i="16"/>
  <c r="CL30" i="16"/>
  <c r="CM30" i="16"/>
  <c r="CN30" i="16"/>
  <c r="CO30" i="16"/>
  <c r="CP30" i="16"/>
  <c r="CQ30" i="16"/>
  <c r="CR30" i="16"/>
  <c r="CK31" i="16"/>
  <c r="CL31" i="16"/>
  <c r="CM31" i="16"/>
  <c r="CN31" i="16"/>
  <c r="CO31" i="16"/>
  <c r="CP31" i="16"/>
  <c r="CQ31" i="16"/>
  <c r="CR31" i="16"/>
  <c r="CK32" i="16"/>
  <c r="CL32" i="16"/>
  <c r="CM32" i="16"/>
  <c r="CN32" i="16"/>
  <c r="CO32" i="16"/>
  <c r="CP32" i="16"/>
  <c r="CQ32" i="16"/>
  <c r="CR32" i="16"/>
  <c r="CK33" i="16"/>
  <c r="CL33" i="16"/>
  <c r="CM33" i="16"/>
  <c r="CN33" i="16"/>
  <c r="CO33" i="16"/>
  <c r="CP33" i="16"/>
  <c r="CQ33" i="16"/>
  <c r="CR33" i="16"/>
  <c r="CK34" i="16"/>
  <c r="CL34" i="16"/>
  <c r="CM34" i="16"/>
  <c r="CN34" i="16"/>
  <c r="CO34" i="16"/>
  <c r="CP34" i="16"/>
  <c r="CQ34" i="16"/>
  <c r="CR34" i="16"/>
  <c r="CK35" i="16"/>
  <c r="CL35" i="16"/>
  <c r="CM35" i="16"/>
  <c r="CN35" i="16"/>
  <c r="CO35" i="16"/>
  <c r="CP35" i="16"/>
  <c r="CQ35" i="16"/>
  <c r="CR35" i="16"/>
  <c r="CK36" i="16"/>
  <c r="CL36" i="16"/>
  <c r="CM36" i="16"/>
  <c r="CN36" i="16"/>
  <c r="CO36" i="16"/>
  <c r="CP36" i="16"/>
  <c r="CQ36" i="16"/>
  <c r="CR36" i="16"/>
  <c r="CK37" i="16"/>
  <c r="CL37" i="16"/>
  <c r="CM37" i="16"/>
  <c r="CN37" i="16"/>
  <c r="CO37" i="16"/>
  <c r="CP37" i="16"/>
  <c r="CQ37" i="16"/>
  <c r="CR37" i="16"/>
  <c r="CK38" i="16"/>
  <c r="CL38" i="16"/>
  <c r="CM38" i="16"/>
  <c r="CN38" i="16"/>
  <c r="CO38" i="16"/>
  <c r="CP38" i="16"/>
  <c r="CQ38" i="16"/>
  <c r="CR38" i="16"/>
  <c r="CK39" i="16"/>
  <c r="CL39" i="16"/>
  <c r="CM39" i="16"/>
  <c r="CN39" i="16"/>
  <c r="CO39" i="16"/>
  <c r="CP39" i="16"/>
  <c r="CQ39" i="16"/>
  <c r="CR39" i="16"/>
  <c r="CK40" i="16"/>
  <c r="CL40" i="16"/>
  <c r="CM40" i="16"/>
  <c r="CN40" i="16"/>
  <c r="CO40" i="16"/>
  <c r="CP40" i="16"/>
  <c r="CQ40" i="16"/>
  <c r="CR40" i="16"/>
  <c r="CK41" i="16"/>
  <c r="CL41" i="16"/>
  <c r="CM41" i="16"/>
  <c r="CN41" i="16"/>
  <c r="CO41" i="16"/>
  <c r="CP41" i="16"/>
  <c r="CQ41" i="16"/>
  <c r="CR41" i="16"/>
  <c r="CK42" i="16"/>
  <c r="CL42" i="16"/>
  <c r="CM42" i="16"/>
  <c r="CN42" i="16"/>
  <c r="CO42" i="16"/>
  <c r="CP42" i="16"/>
  <c r="CQ42" i="16"/>
  <c r="CR42" i="16"/>
  <c r="CK43" i="16"/>
  <c r="CL43" i="16"/>
  <c r="CM43" i="16"/>
  <c r="CN43" i="16"/>
  <c r="CO43" i="16"/>
  <c r="CP43" i="16"/>
  <c r="CQ43" i="16"/>
  <c r="CR43" i="16"/>
  <c r="CK44" i="16"/>
  <c r="CL44" i="16"/>
  <c r="CM44" i="16"/>
  <c r="CN44" i="16"/>
  <c r="CO44" i="16"/>
  <c r="CP44" i="16"/>
  <c r="CQ44" i="16"/>
  <c r="CR44" i="16"/>
  <c r="CK45" i="16"/>
  <c r="CL45" i="16"/>
  <c r="CM45" i="16"/>
  <c r="CN45" i="16"/>
  <c r="CO45" i="16"/>
  <c r="CP45" i="16"/>
  <c r="CQ45" i="16"/>
  <c r="CR45" i="16"/>
  <c r="CK46" i="16"/>
  <c r="CL46" i="16"/>
  <c r="CM46" i="16"/>
  <c r="CN46" i="16"/>
  <c r="CO46" i="16"/>
  <c r="CP46" i="16"/>
  <c r="CQ46" i="16"/>
  <c r="CR46" i="16"/>
  <c r="CK47" i="16"/>
  <c r="CL47" i="16"/>
  <c r="CM47" i="16"/>
  <c r="CN47" i="16"/>
  <c r="CO47" i="16"/>
  <c r="CP47" i="16"/>
  <c r="CQ47" i="16"/>
  <c r="CR47" i="16"/>
  <c r="CK48" i="16"/>
  <c r="CL48" i="16"/>
  <c r="CM48" i="16"/>
  <c r="CN48" i="16"/>
  <c r="CO48" i="16"/>
  <c r="CP48" i="16"/>
  <c r="CQ48" i="16"/>
  <c r="CR48" i="16"/>
  <c r="CK49" i="16"/>
  <c r="CL49" i="16"/>
  <c r="CM49" i="16"/>
  <c r="CN49" i="16"/>
  <c r="CO49" i="16"/>
  <c r="CP49" i="16"/>
  <c r="CQ49" i="16"/>
  <c r="CR49" i="16"/>
  <c r="CK50" i="16"/>
  <c r="CL50" i="16"/>
  <c r="CM50" i="16"/>
  <c r="CN50" i="16"/>
  <c r="CO50" i="16"/>
  <c r="CP50" i="16"/>
  <c r="CQ50" i="16"/>
  <c r="CR50" i="16"/>
  <c r="CK51" i="16"/>
  <c r="CL51" i="16"/>
  <c r="CM51" i="16"/>
  <c r="CN51" i="16"/>
  <c r="CO51" i="16"/>
  <c r="CP51" i="16"/>
  <c r="CQ51" i="16"/>
  <c r="CR51" i="16"/>
  <c r="CK52" i="16"/>
  <c r="CL52" i="16"/>
  <c r="CM52" i="16"/>
  <c r="CN52" i="16"/>
  <c r="CO52" i="16"/>
  <c r="CP52" i="16"/>
  <c r="CQ52" i="16"/>
  <c r="CR52" i="16"/>
  <c r="CK53" i="16"/>
  <c r="CL53" i="16"/>
  <c r="CM53" i="16"/>
  <c r="CN53" i="16"/>
  <c r="CO53" i="16"/>
  <c r="CP53" i="16"/>
  <c r="CQ53" i="16"/>
  <c r="CR53" i="16"/>
  <c r="CK54" i="16"/>
  <c r="CL54" i="16"/>
  <c r="CM54" i="16"/>
  <c r="CN54" i="16"/>
  <c r="CO54" i="16"/>
  <c r="CP54" i="16"/>
  <c r="CQ54" i="16"/>
  <c r="CR54" i="16"/>
  <c r="CK55" i="16"/>
  <c r="CL55" i="16"/>
  <c r="CM55" i="16"/>
  <c r="CN55" i="16"/>
  <c r="CO55" i="16"/>
  <c r="CP55" i="16"/>
  <c r="CQ55" i="16"/>
  <c r="CR55" i="16"/>
  <c r="CK56" i="16"/>
  <c r="CL56" i="16"/>
  <c r="CM56" i="16"/>
  <c r="CN56" i="16"/>
  <c r="CO56" i="16"/>
  <c r="CP56" i="16"/>
  <c r="CQ56" i="16"/>
  <c r="CR56" i="16"/>
  <c r="CK57" i="16"/>
  <c r="CL57" i="16"/>
  <c r="CM57" i="16"/>
  <c r="CN57" i="16"/>
  <c r="CO57" i="16"/>
  <c r="CP57" i="16"/>
  <c r="CQ57" i="16"/>
  <c r="CR57" i="16"/>
  <c r="CK58" i="16"/>
  <c r="CL58" i="16"/>
  <c r="CM58" i="16"/>
  <c r="CN58" i="16"/>
  <c r="CO58" i="16"/>
  <c r="CP58" i="16"/>
  <c r="CQ58" i="16"/>
  <c r="CR58" i="16"/>
  <c r="CK59" i="16"/>
  <c r="CL59" i="16"/>
  <c r="CM59" i="16"/>
  <c r="CN59" i="16"/>
  <c r="CO59" i="16"/>
  <c r="CP59" i="16"/>
  <c r="CQ59" i="16"/>
  <c r="CR59" i="16"/>
  <c r="CK60" i="16"/>
  <c r="CL60" i="16"/>
  <c r="CM60" i="16"/>
  <c r="CN60" i="16"/>
  <c r="CO60" i="16"/>
  <c r="CP60" i="16"/>
  <c r="CQ60" i="16"/>
  <c r="CR60" i="16"/>
  <c r="CK61" i="16"/>
  <c r="CL61" i="16"/>
  <c r="CM61" i="16"/>
  <c r="CN61" i="16"/>
  <c r="CO61" i="16"/>
  <c r="CP61" i="16"/>
  <c r="CQ61" i="16"/>
  <c r="CR61" i="16"/>
  <c r="CK62" i="16"/>
  <c r="CL62" i="16"/>
  <c r="CM62" i="16"/>
  <c r="CN62" i="16"/>
  <c r="CO62" i="16"/>
  <c r="CP62" i="16"/>
  <c r="CQ62" i="16"/>
  <c r="CR62" i="16"/>
  <c r="CK63" i="16"/>
  <c r="CL63" i="16"/>
  <c r="CM63" i="16"/>
  <c r="CN63" i="16"/>
  <c r="CO63" i="16"/>
  <c r="CP63" i="16"/>
  <c r="CQ63" i="16"/>
  <c r="CR63" i="16"/>
  <c r="CK64" i="16"/>
  <c r="CL64" i="16"/>
  <c r="CM64" i="16"/>
  <c r="CN64" i="16"/>
  <c r="CO64" i="16"/>
  <c r="CP64" i="16"/>
  <c r="CQ64" i="16"/>
  <c r="CR64" i="16"/>
  <c r="CK65" i="16"/>
  <c r="CL65" i="16"/>
  <c r="CM65" i="16"/>
  <c r="CN65" i="16"/>
  <c r="CO65" i="16"/>
  <c r="CP65" i="16"/>
  <c r="CQ65" i="16"/>
  <c r="CR65" i="16"/>
  <c r="CK66" i="16"/>
  <c r="CL66" i="16"/>
  <c r="CM66" i="16"/>
  <c r="CN66" i="16"/>
  <c r="CO66" i="16"/>
  <c r="CP66" i="16"/>
  <c r="CQ66" i="16"/>
  <c r="CR66" i="16"/>
  <c r="CK67" i="16"/>
  <c r="CL67" i="16"/>
  <c r="CM67" i="16"/>
  <c r="CN67" i="16"/>
  <c r="CO67" i="16"/>
  <c r="CP67" i="16"/>
  <c r="CQ67" i="16"/>
  <c r="CR67" i="16"/>
  <c r="CK68" i="16"/>
  <c r="CL68" i="16"/>
  <c r="CM68" i="16"/>
  <c r="CN68" i="16"/>
  <c r="CO68" i="16"/>
  <c r="CP68" i="16"/>
  <c r="CQ68" i="16"/>
  <c r="CR68" i="16"/>
  <c r="CK69" i="16"/>
  <c r="CL69" i="16"/>
  <c r="CM69" i="16"/>
  <c r="CN69" i="16"/>
  <c r="CO69" i="16"/>
  <c r="CP69" i="16"/>
  <c r="CQ69" i="16"/>
  <c r="CR69" i="16"/>
  <c r="L9" i="14"/>
  <c r="K9" i="14"/>
  <c r="Z9" i="14" s="1"/>
  <c r="R9" i="14"/>
  <c r="Q9" i="14"/>
  <c r="S9" i="14" s="1"/>
  <c r="X9" i="14"/>
  <c r="W9" i="14"/>
  <c r="Y9" i="14" s="1"/>
  <c r="CL9" i="14"/>
  <c r="CM9" i="14"/>
  <c r="CN9" i="14"/>
  <c r="CO9" i="14"/>
  <c r="CP9" i="14"/>
  <c r="CQ9" i="14"/>
  <c r="L12" i="14"/>
  <c r="K12" i="14"/>
  <c r="R12" i="14"/>
  <c r="P12" i="14"/>
  <c r="Q12" i="14" s="1"/>
  <c r="S12" i="14" s="1"/>
  <c r="L13" i="14"/>
  <c r="K13" i="14"/>
  <c r="R13" i="14"/>
  <c r="Q13" i="14"/>
  <c r="S13" i="14" s="1"/>
  <c r="CK10" i="14"/>
  <c r="CL10" i="14"/>
  <c r="CN10" i="14"/>
  <c r="CP10" i="14"/>
  <c r="CQ10" i="14"/>
  <c r="CK11" i="14"/>
  <c r="CL11" i="14"/>
  <c r="CM11" i="14"/>
  <c r="CN11" i="14"/>
  <c r="CO11" i="14"/>
  <c r="CP11" i="14"/>
  <c r="CQ11" i="14"/>
  <c r="CK12" i="14"/>
  <c r="CL12" i="14"/>
  <c r="CM12" i="14"/>
  <c r="CN12" i="14"/>
  <c r="CO12" i="14"/>
  <c r="CP12" i="14"/>
  <c r="CQ12" i="14"/>
  <c r="CK13" i="14"/>
  <c r="CL13" i="14"/>
  <c r="CM13" i="14"/>
  <c r="CN13" i="14"/>
  <c r="CO13" i="14"/>
  <c r="CP13" i="14"/>
  <c r="CQ13" i="14"/>
  <c r="J116" i="4"/>
  <c r="AB5" i="4"/>
  <c r="AC87" i="4"/>
  <c r="Z86" i="4"/>
  <c r="AA86" i="4" s="1"/>
  <c r="M86" i="4"/>
  <c r="AB86" i="4" s="1"/>
  <c r="Z82" i="4"/>
  <c r="AA82" i="4" s="1"/>
  <c r="M82" i="4"/>
  <c r="AB82" i="4" s="1"/>
  <c r="Z81" i="4"/>
  <c r="AA81" i="4" s="1"/>
  <c r="M81" i="4"/>
  <c r="AB81" i="4" s="1"/>
  <c r="Z79" i="4"/>
  <c r="AA79" i="4" s="1"/>
  <c r="M79" i="4"/>
  <c r="AB79" i="4" s="1"/>
  <c r="Z78" i="4"/>
  <c r="AA78" i="4" s="1"/>
  <c r="M78" i="4"/>
  <c r="AB78" i="4" s="1"/>
  <c r="Z77" i="4"/>
  <c r="AA77" i="4" s="1"/>
  <c r="M77" i="4"/>
  <c r="AB77" i="4" s="1"/>
  <c r="Z76" i="4"/>
  <c r="AA76" i="4" s="1"/>
  <c r="M76" i="4"/>
  <c r="AB76" i="4" s="1"/>
  <c r="Z75" i="4"/>
  <c r="AA75" i="4" s="1"/>
  <c r="M75" i="4"/>
  <c r="AB75" i="4" s="1"/>
  <c r="Z74" i="4"/>
  <c r="AA74" i="4" s="1"/>
  <c r="M74" i="4"/>
  <c r="AB74" i="4" s="1"/>
  <c r="Z73" i="4"/>
  <c r="AA73" i="4" s="1"/>
  <c r="M73" i="4"/>
  <c r="AB73" i="4" s="1"/>
  <c r="Z72" i="4"/>
  <c r="AA72" i="4" s="1"/>
  <c r="M72" i="4"/>
  <c r="AB72" i="4" s="1"/>
  <c r="X83" i="4"/>
  <c r="V83" i="4"/>
  <c r="W83" i="4" s="1"/>
  <c r="AC11" i="4"/>
  <c r="CR11" i="4" s="1"/>
  <c r="M66" i="4"/>
  <c r="AB66" i="4" s="1"/>
  <c r="AC74" i="4" l="1"/>
  <c r="AC73" i="4"/>
  <c r="AC81" i="4"/>
  <c r="AC75" i="4"/>
  <c r="AC79" i="4"/>
  <c r="AC77" i="4"/>
  <c r="AC11" i="14"/>
  <c r="CR11" i="14" s="1"/>
  <c r="AC86" i="4"/>
  <c r="AC82" i="4"/>
  <c r="AC76" i="4"/>
  <c r="AC72" i="4"/>
  <c r="AC78" i="4"/>
  <c r="Z13" i="14"/>
  <c r="M9" i="14"/>
  <c r="AB9" i="14" s="1"/>
  <c r="AA9" i="14"/>
  <c r="M13" i="14"/>
  <c r="AB13" i="14" s="1"/>
  <c r="AA13" i="14"/>
  <c r="M12" i="14"/>
  <c r="AB12" i="14" s="1"/>
  <c r="Z12" i="14"/>
  <c r="AA12" i="14" s="1"/>
  <c r="Z83" i="4"/>
  <c r="AA83" i="4" s="1"/>
  <c r="Y83" i="4"/>
  <c r="AB83" i="4" s="1"/>
  <c r="BA247" i="12"/>
  <c r="AT247" i="12"/>
  <c r="AR247" i="12"/>
  <c r="AQ247" i="12"/>
  <c r="AS247" i="12" s="1"/>
  <c r="AU247" i="12" s="1"/>
  <c r="AG247" i="12"/>
  <c r="AE247" i="12"/>
  <c r="AD247" i="12"/>
  <c r="AF247" i="12" s="1"/>
  <c r="AH247" i="12" s="1"/>
  <c r="T247" i="12"/>
  <c r="Q247" i="12"/>
  <c r="BA246" i="12"/>
  <c r="AT246" i="12"/>
  <c r="AR246" i="12"/>
  <c r="AQ246" i="12"/>
  <c r="AG246" i="12"/>
  <c r="AD246" i="12"/>
  <c r="O10" i="4" s="1"/>
  <c r="T246" i="12"/>
  <c r="Q246" i="12"/>
  <c r="I10" i="4" s="1"/>
  <c r="BA245" i="12"/>
  <c r="AT245" i="12"/>
  <c r="AR245" i="12"/>
  <c r="AQ245" i="12"/>
  <c r="AS245" i="12" s="1"/>
  <c r="AU245" i="12" s="1"/>
  <c r="AG245" i="12"/>
  <c r="AD245" i="12"/>
  <c r="T245" i="12"/>
  <c r="Q245" i="12"/>
  <c r="BA244" i="12"/>
  <c r="AT244" i="12"/>
  <c r="AQ244" i="12"/>
  <c r="AG244" i="12"/>
  <c r="AD244" i="12"/>
  <c r="T244" i="12"/>
  <c r="Q244" i="12"/>
  <c r="BA243" i="12"/>
  <c r="AT243" i="12"/>
  <c r="AQ243" i="12"/>
  <c r="AG243" i="12"/>
  <c r="AD243" i="12"/>
  <c r="T243" i="12"/>
  <c r="Q243" i="12"/>
  <c r="BA242" i="12"/>
  <c r="AT242" i="12"/>
  <c r="AQ242" i="12"/>
  <c r="AR242" i="12" s="1"/>
  <c r="AS242" i="12" s="1"/>
  <c r="AU242" i="12" s="1"/>
  <c r="AG242" i="12"/>
  <c r="AD242" i="12"/>
  <c r="T242" i="12"/>
  <c r="Q242" i="12"/>
  <c r="BA241" i="12"/>
  <c r="AT241" i="12"/>
  <c r="AQ241" i="12"/>
  <c r="AS241" i="12" s="1"/>
  <c r="AU241" i="12" s="1"/>
  <c r="AG241" i="12"/>
  <c r="AD241" i="12"/>
  <c r="AF241" i="12" s="1"/>
  <c r="AH241" i="12" s="1"/>
  <c r="T241" i="12"/>
  <c r="Q241" i="12"/>
  <c r="S241" i="12" s="1"/>
  <c r="AV241" i="12" s="1"/>
  <c r="AW241" i="12" s="1"/>
  <c r="BA240" i="12"/>
  <c r="AT240" i="12"/>
  <c r="AS240" i="12"/>
  <c r="AU240" i="12" s="1"/>
  <c r="AG240" i="12"/>
  <c r="AD240" i="12"/>
  <c r="T240" i="12"/>
  <c r="Q240" i="12"/>
  <c r="BA239" i="12"/>
  <c r="AT239" i="12"/>
  <c r="AQ239" i="12"/>
  <c r="AG239" i="12"/>
  <c r="AD239" i="12"/>
  <c r="T239" i="12"/>
  <c r="Q239" i="12"/>
  <c r="BA238" i="12"/>
  <c r="AT238" i="12"/>
  <c r="AQ238" i="12"/>
  <c r="AG238" i="12"/>
  <c r="AD238" i="12"/>
  <c r="AE238" i="12" s="1"/>
  <c r="AF238" i="12" s="1"/>
  <c r="AH238" i="12" s="1"/>
  <c r="T238" i="12"/>
  <c r="Q238" i="12"/>
  <c r="BA237" i="12"/>
  <c r="AT237" i="12"/>
  <c r="AQ237" i="12"/>
  <c r="AG237" i="12"/>
  <c r="AD237" i="12"/>
  <c r="AE237" i="12" s="1"/>
  <c r="AF237" i="12" s="1"/>
  <c r="AH237" i="12" s="1"/>
  <c r="T237" i="12"/>
  <c r="Q237" i="12"/>
  <c r="R237" i="12" s="1"/>
  <c r="S237" i="12" s="1"/>
  <c r="BA236" i="12"/>
  <c r="AT236" i="12"/>
  <c r="AQ236" i="12"/>
  <c r="AR236" i="12" s="1"/>
  <c r="AS236" i="12" s="1"/>
  <c r="AU236" i="12" s="1"/>
  <c r="AG236" i="12"/>
  <c r="AD236" i="12"/>
  <c r="T236" i="12"/>
  <c r="Q236" i="12"/>
  <c r="AF235" i="12"/>
  <c r="AF234" i="12"/>
  <c r="AF233" i="12"/>
  <c r="BA232" i="12"/>
  <c r="AT232" i="12"/>
  <c r="AQ232" i="12"/>
  <c r="AG232" i="12"/>
  <c r="AD232" i="12"/>
  <c r="T232" i="12"/>
  <c r="Q232" i="12"/>
  <c r="AF231" i="12"/>
  <c r="BA230" i="12"/>
  <c r="AT230" i="12"/>
  <c r="AQ230" i="12"/>
  <c r="AR230" i="12" s="1"/>
  <c r="AS230" i="12" s="1"/>
  <c r="AU230" i="12" s="1"/>
  <c r="AG230" i="12"/>
  <c r="AD230" i="12"/>
  <c r="Q230" i="12"/>
  <c r="BA229" i="12"/>
  <c r="AT229" i="12"/>
  <c r="AQ229" i="12"/>
  <c r="AG229" i="12"/>
  <c r="AD229" i="12"/>
  <c r="T229" i="12"/>
  <c r="Q229" i="12"/>
  <c r="R229" i="12" s="1"/>
  <c r="S229" i="12" s="1"/>
  <c r="BA228" i="12"/>
  <c r="AG228" i="12"/>
  <c r="AE228" i="12"/>
  <c r="AD228" i="12"/>
  <c r="AF228" i="12" s="1"/>
  <c r="T228" i="12"/>
  <c r="R228" i="12"/>
  <c r="Q228" i="12"/>
  <c r="S228" i="12" s="1"/>
  <c r="BA227" i="12"/>
  <c r="AT227" i="12"/>
  <c r="AR227" i="12"/>
  <c r="AQ227" i="12"/>
  <c r="AS227" i="12" s="1"/>
  <c r="AU227" i="12" s="1"/>
  <c r="AG227" i="12"/>
  <c r="AE227" i="12"/>
  <c r="AD227" i="12"/>
  <c r="AF227" i="12" s="1"/>
  <c r="T227" i="12"/>
  <c r="R227" i="12"/>
  <c r="Q227" i="12"/>
  <c r="BA226" i="12"/>
  <c r="AT226" i="12"/>
  <c r="AR226" i="12"/>
  <c r="AQ226" i="12"/>
  <c r="AG226" i="12"/>
  <c r="AE226" i="12"/>
  <c r="AD226" i="12"/>
  <c r="AF226" i="12" s="1"/>
  <c r="AH226" i="12" s="1"/>
  <c r="T226" i="12"/>
  <c r="R226" i="12"/>
  <c r="Q226" i="12"/>
  <c r="S226" i="12" s="1"/>
  <c r="BA225" i="12"/>
  <c r="AT225" i="12"/>
  <c r="AR225" i="12"/>
  <c r="AQ225" i="12"/>
  <c r="AS225" i="12" s="1"/>
  <c r="AU225" i="12" s="1"/>
  <c r="AG225" i="12"/>
  <c r="AE225" i="12"/>
  <c r="AD225" i="12"/>
  <c r="AF225" i="12" s="1"/>
  <c r="AH225" i="12" s="1"/>
  <c r="T225" i="12"/>
  <c r="R225" i="12"/>
  <c r="Q225" i="12"/>
  <c r="S225" i="12" s="1"/>
  <c r="AV225" i="12" s="1"/>
  <c r="AW225" i="12" s="1"/>
  <c r="BA224" i="12"/>
  <c r="AT224" i="12"/>
  <c r="AR224" i="12"/>
  <c r="AQ224" i="12"/>
  <c r="AS224" i="12" s="1"/>
  <c r="AU224" i="12" s="1"/>
  <c r="AG224" i="12"/>
  <c r="AE224" i="12"/>
  <c r="AD224" i="12"/>
  <c r="AF224" i="12" s="1"/>
  <c r="AH224" i="12" s="1"/>
  <c r="T224" i="12"/>
  <c r="R224" i="12"/>
  <c r="Q224" i="12"/>
  <c r="S224" i="12" s="1"/>
  <c r="AV224" i="12" s="1"/>
  <c r="AW224" i="12" s="1"/>
  <c r="BA223" i="12"/>
  <c r="AT223" i="12"/>
  <c r="AR223" i="12"/>
  <c r="AQ223" i="12"/>
  <c r="AS223" i="12" s="1"/>
  <c r="AU223" i="12" s="1"/>
  <c r="AG223" i="12"/>
  <c r="AE223" i="12"/>
  <c r="AD223" i="12"/>
  <c r="AF223" i="12" s="1"/>
  <c r="AH223" i="12" s="1"/>
  <c r="T223" i="12"/>
  <c r="R223" i="12"/>
  <c r="Q223" i="12"/>
  <c r="BA222" i="12"/>
  <c r="AT222" i="12"/>
  <c r="AR222" i="12"/>
  <c r="AQ222" i="12"/>
  <c r="AS222" i="12" s="1"/>
  <c r="AU222" i="12" s="1"/>
  <c r="AG222" i="12"/>
  <c r="AE222" i="12"/>
  <c r="AD222" i="12"/>
  <c r="AF222" i="12" s="1"/>
  <c r="AH222" i="12" s="1"/>
  <c r="T222" i="12"/>
  <c r="R222" i="12"/>
  <c r="Q222" i="12"/>
  <c r="S222" i="12" s="1"/>
  <c r="BA221" i="12"/>
  <c r="AG221" i="12"/>
  <c r="AE221" i="12"/>
  <c r="AD221" i="12"/>
  <c r="AF221" i="12" s="1"/>
  <c r="AH221" i="12" s="1"/>
  <c r="T221" i="12"/>
  <c r="R221" i="12"/>
  <c r="Q221" i="12"/>
  <c r="S221" i="12" s="1"/>
  <c r="AV221" i="12" s="1"/>
  <c r="AW221" i="12" s="1"/>
  <c r="BA220" i="12"/>
  <c r="AG220" i="12"/>
  <c r="AE220" i="12"/>
  <c r="AD220" i="12"/>
  <c r="AF220" i="12" s="1"/>
  <c r="AH220" i="12" s="1"/>
  <c r="T220" i="12"/>
  <c r="R220" i="12"/>
  <c r="Q220" i="12"/>
  <c r="S220" i="12" s="1"/>
  <c r="AV220" i="12" s="1"/>
  <c r="AW220" i="12" s="1"/>
  <c r="BA219" i="12"/>
  <c r="AG219" i="12"/>
  <c r="AE219" i="12"/>
  <c r="AD219" i="12"/>
  <c r="T219" i="12"/>
  <c r="R219" i="12"/>
  <c r="Q219" i="12"/>
  <c r="BA218" i="12"/>
  <c r="AT218" i="12"/>
  <c r="AR218" i="12"/>
  <c r="AQ218" i="12"/>
  <c r="AS218" i="12" s="1"/>
  <c r="AU218" i="12" s="1"/>
  <c r="AG218" i="12"/>
  <c r="AE218" i="12"/>
  <c r="AD218" i="12"/>
  <c r="T218" i="12"/>
  <c r="R218" i="12"/>
  <c r="Q218" i="12"/>
  <c r="S218" i="12" s="1"/>
  <c r="BA217" i="12"/>
  <c r="AT217" i="12"/>
  <c r="AR217" i="12"/>
  <c r="AQ217" i="12"/>
  <c r="AS217" i="12" s="1"/>
  <c r="AU217" i="12" s="1"/>
  <c r="AG217" i="12"/>
  <c r="AE217" i="12"/>
  <c r="AD217" i="12"/>
  <c r="AF217" i="12" s="1"/>
  <c r="AH217" i="12" s="1"/>
  <c r="T217" i="12"/>
  <c r="R217" i="12"/>
  <c r="Q217" i="12"/>
  <c r="S217" i="12" s="1"/>
  <c r="AV217" i="12" s="1"/>
  <c r="AW217" i="12" s="1"/>
  <c r="AF216" i="12"/>
  <c r="AF215" i="12"/>
  <c r="AF214" i="12"/>
  <c r="AF213" i="12"/>
  <c r="BA211" i="12"/>
  <c r="AG211" i="12"/>
  <c r="AD211" i="12"/>
  <c r="T211" i="12"/>
  <c r="Q211" i="12"/>
  <c r="R211" i="12" s="1"/>
  <c r="S211" i="12" s="1"/>
  <c r="BA210" i="12"/>
  <c r="AG210" i="12"/>
  <c r="AD210" i="12"/>
  <c r="T210" i="12"/>
  <c r="Q210" i="12"/>
  <c r="BA209" i="12"/>
  <c r="AG209" i="12"/>
  <c r="AD209" i="12"/>
  <c r="O27" i="4" s="1"/>
  <c r="T209" i="12"/>
  <c r="Q209" i="12"/>
  <c r="I27" i="4" s="1"/>
  <c r="BA208" i="12"/>
  <c r="AG208" i="12"/>
  <c r="AD208" i="12"/>
  <c r="T208" i="12"/>
  <c r="Q208" i="12"/>
  <c r="R208" i="12" s="1"/>
  <c r="S208" i="12" s="1"/>
  <c r="BA207" i="12"/>
  <c r="AG207" i="12"/>
  <c r="AD207" i="12"/>
  <c r="AE207" i="12" s="1"/>
  <c r="AF207" i="12" s="1"/>
  <c r="AH207" i="12" s="1"/>
  <c r="T207" i="12"/>
  <c r="Q207" i="12"/>
  <c r="BA206" i="12"/>
  <c r="AG206" i="12"/>
  <c r="AD206" i="12"/>
  <c r="T206" i="12"/>
  <c r="Q206" i="12"/>
  <c r="BA205" i="12"/>
  <c r="AG205" i="12"/>
  <c r="AD205" i="12"/>
  <c r="T205" i="12"/>
  <c r="Q205" i="12"/>
  <c r="BA204" i="12"/>
  <c r="AG204" i="12"/>
  <c r="AD204" i="12"/>
  <c r="T204" i="12"/>
  <c r="Q204" i="12"/>
  <c r="BA203" i="12"/>
  <c r="AT203" i="12"/>
  <c r="AQ203" i="12"/>
  <c r="AG203" i="12"/>
  <c r="AD203" i="12"/>
  <c r="T203" i="12"/>
  <c r="Q203" i="12"/>
  <c r="R203" i="12" s="1"/>
  <c r="S203" i="12" s="1"/>
  <c r="BA202" i="12"/>
  <c r="AT202" i="12"/>
  <c r="AQ202" i="12"/>
  <c r="AG202" i="12"/>
  <c r="AD202" i="12"/>
  <c r="T202" i="12"/>
  <c r="Q202" i="12"/>
  <c r="R202" i="12" s="1"/>
  <c r="S202" i="12" s="1"/>
  <c r="BA201" i="12"/>
  <c r="AT201" i="12"/>
  <c r="AQ201" i="12"/>
  <c r="U21" i="4" s="1"/>
  <c r="AG201" i="12"/>
  <c r="AD201" i="12"/>
  <c r="T201" i="12"/>
  <c r="Q201" i="12"/>
  <c r="I21" i="4" s="1"/>
  <c r="BA200" i="12"/>
  <c r="AQ200" i="12"/>
  <c r="AD200" i="12"/>
  <c r="Q200" i="12"/>
  <c r="BA199" i="12"/>
  <c r="AQ199" i="12"/>
  <c r="AD199" i="12"/>
  <c r="Q199" i="12"/>
  <c r="BA198" i="12"/>
  <c r="AQ198" i="12"/>
  <c r="AD198" i="12"/>
  <c r="Q198" i="12"/>
  <c r="AF197" i="12"/>
  <c r="AF196" i="12"/>
  <c r="BA195" i="12"/>
  <c r="AT195" i="12"/>
  <c r="AQ195" i="12"/>
  <c r="AG195" i="12"/>
  <c r="AD195" i="12"/>
  <c r="AE195" i="12" s="1"/>
  <c r="AF195" i="12" s="1"/>
  <c r="AH195" i="12" s="1"/>
  <c r="T195" i="12"/>
  <c r="Q195" i="12"/>
  <c r="BA194" i="12"/>
  <c r="AT194" i="12"/>
  <c r="AQ194" i="12"/>
  <c r="AG194" i="12"/>
  <c r="AD194" i="12"/>
  <c r="T194" i="12"/>
  <c r="Q194" i="12"/>
  <c r="R194" i="12" s="1"/>
  <c r="S194" i="12" s="1"/>
  <c r="AT193" i="12"/>
  <c r="AQ193" i="12"/>
  <c r="AG193" i="12"/>
  <c r="AE193" i="12"/>
  <c r="AF193" i="12" s="1"/>
  <c r="AF192" i="12"/>
  <c r="BA191" i="12"/>
  <c r="AT191" i="12"/>
  <c r="AQ191" i="12"/>
  <c r="U18" i="4" s="1"/>
  <c r="AG191" i="12"/>
  <c r="AD191" i="12"/>
  <c r="O18" i="4" s="1"/>
  <c r="T191" i="12"/>
  <c r="Q191" i="12"/>
  <c r="BA190" i="12"/>
  <c r="AT190" i="12"/>
  <c r="AQ190" i="12"/>
  <c r="AR190" i="12" s="1"/>
  <c r="AS190" i="12" s="1"/>
  <c r="AU190" i="12" s="1"/>
  <c r="AG190" i="12"/>
  <c r="AD190" i="12"/>
  <c r="T190" i="12"/>
  <c r="Q190" i="12"/>
  <c r="R190" i="12" s="1"/>
  <c r="S190" i="12" s="1"/>
  <c r="BA189" i="12"/>
  <c r="AT189" i="12"/>
  <c r="AQ189" i="12"/>
  <c r="U20" i="4" s="1"/>
  <c r="AG189" i="12"/>
  <c r="AD189" i="12"/>
  <c r="O20" i="4" s="1"/>
  <c r="T189" i="12"/>
  <c r="Q189" i="12"/>
  <c r="I20" i="4" s="1"/>
  <c r="BA188" i="12"/>
  <c r="AT188" i="12"/>
  <c r="AQ188" i="12"/>
  <c r="AG188" i="12"/>
  <c r="AE188" i="12"/>
  <c r="AF188" i="12" s="1"/>
  <c r="AH188" i="12" s="1"/>
  <c r="T188" i="12"/>
  <c r="R188" i="12"/>
  <c r="S188" i="12" s="1"/>
  <c r="BA187" i="12"/>
  <c r="AT187" i="12"/>
  <c r="AQ187" i="12"/>
  <c r="AR187" i="12" s="1"/>
  <c r="AS187" i="12" s="1"/>
  <c r="AU187" i="12" s="1"/>
  <c r="AG187" i="12"/>
  <c r="AE187" i="12"/>
  <c r="AF187" i="12" s="1"/>
  <c r="AH187" i="12" s="1"/>
  <c r="T187" i="12"/>
  <c r="R187" i="12"/>
  <c r="S187" i="12" s="1"/>
  <c r="BA186" i="12"/>
  <c r="AT186" i="12"/>
  <c r="AQ186" i="12"/>
  <c r="AR186" i="12" s="1"/>
  <c r="AS186" i="12" s="1"/>
  <c r="AU186" i="12" s="1"/>
  <c r="AG186" i="12"/>
  <c r="AD186" i="12"/>
  <c r="T186" i="12"/>
  <c r="Q186" i="12"/>
  <c r="R186" i="12" s="1"/>
  <c r="S186" i="12" s="1"/>
  <c r="AF185" i="12"/>
  <c r="BA184" i="12"/>
  <c r="AT184" i="12"/>
  <c r="AR184" i="12"/>
  <c r="AQ184" i="12"/>
  <c r="AS184" i="12" s="1"/>
  <c r="AU184" i="12" s="1"/>
  <c r="AG184" i="12"/>
  <c r="AD184" i="12"/>
  <c r="T184" i="12"/>
  <c r="Q184" i="12"/>
  <c r="R184" i="12" s="1"/>
  <c r="S184" i="12" s="1"/>
  <c r="BA183" i="12"/>
  <c r="AT183" i="12"/>
  <c r="AQ183" i="12"/>
  <c r="AR183" i="12" s="1"/>
  <c r="AS183" i="12" s="1"/>
  <c r="AU183" i="12" s="1"/>
  <c r="AG183" i="12"/>
  <c r="AD183" i="12"/>
  <c r="T183" i="12"/>
  <c r="Q183" i="12"/>
  <c r="R183" i="12" s="1"/>
  <c r="S183" i="12" s="1"/>
  <c r="BA182" i="12"/>
  <c r="AT182" i="12"/>
  <c r="AQ182" i="12"/>
  <c r="AR182" i="12" s="1"/>
  <c r="AS182" i="12" s="1"/>
  <c r="AU182" i="12" s="1"/>
  <c r="AG182" i="12"/>
  <c r="AD182" i="12"/>
  <c r="T182" i="12"/>
  <c r="Q182" i="12"/>
  <c r="BA181" i="12"/>
  <c r="AT181" i="12"/>
  <c r="AQ181" i="12"/>
  <c r="AG181" i="12"/>
  <c r="AD181" i="12"/>
  <c r="AE181" i="12" s="1"/>
  <c r="AF181" i="12" s="1"/>
  <c r="AH181" i="12" s="1"/>
  <c r="T181" i="12"/>
  <c r="Q181" i="12"/>
  <c r="BA180" i="12"/>
  <c r="AT180" i="12"/>
  <c r="AQ180" i="12"/>
  <c r="AG180" i="12"/>
  <c r="AD180" i="12"/>
  <c r="T180" i="12"/>
  <c r="Q180" i="12"/>
  <c r="R180" i="12" s="1"/>
  <c r="S180" i="12" s="1"/>
  <c r="BA179" i="12"/>
  <c r="AT179" i="12"/>
  <c r="AQ179" i="12"/>
  <c r="AR179" i="12" s="1"/>
  <c r="AS179" i="12" s="1"/>
  <c r="AU179" i="12" s="1"/>
  <c r="AG179" i="12"/>
  <c r="AD179" i="12"/>
  <c r="AE179" i="12" s="1"/>
  <c r="AF179" i="12" s="1"/>
  <c r="AH179" i="12" s="1"/>
  <c r="T179" i="12"/>
  <c r="Q179" i="12"/>
  <c r="R179" i="12" s="1"/>
  <c r="S179" i="12" s="1"/>
  <c r="AV179" i="12" s="1"/>
  <c r="AW179" i="12" s="1"/>
  <c r="BA178" i="12"/>
  <c r="AT178" i="12"/>
  <c r="AQ178" i="12"/>
  <c r="AR178" i="12" s="1"/>
  <c r="AS178" i="12" s="1"/>
  <c r="AU178" i="12" s="1"/>
  <c r="AG178" i="12"/>
  <c r="AD178" i="12"/>
  <c r="T178" i="12"/>
  <c r="Q178" i="12"/>
  <c r="BA177" i="12"/>
  <c r="AT177" i="12"/>
  <c r="AQ177" i="12"/>
  <c r="AG177" i="12"/>
  <c r="AD177" i="12"/>
  <c r="T177" i="12"/>
  <c r="Q177" i="12"/>
  <c r="BA176" i="12"/>
  <c r="AT176" i="12"/>
  <c r="AQ176" i="12"/>
  <c r="AG176" i="12"/>
  <c r="AD176" i="12"/>
  <c r="AE176" i="12" s="1"/>
  <c r="AF176" i="12" s="1"/>
  <c r="AH176" i="12" s="1"/>
  <c r="T176" i="12"/>
  <c r="Q176" i="12"/>
  <c r="R176" i="12" s="1"/>
  <c r="S176" i="12" s="1"/>
  <c r="BA175" i="12"/>
  <c r="AT175" i="12"/>
  <c r="AQ175" i="12"/>
  <c r="AR175" i="12" s="1"/>
  <c r="AS175" i="12" s="1"/>
  <c r="AU175" i="12" s="1"/>
  <c r="AG175" i="12"/>
  <c r="AD175" i="12"/>
  <c r="AE175" i="12" s="1"/>
  <c r="AF175" i="12" s="1"/>
  <c r="AH175" i="12" s="1"/>
  <c r="T175" i="12"/>
  <c r="Q175" i="12"/>
  <c r="R175" i="12" s="1"/>
  <c r="S175" i="12" s="1"/>
  <c r="AV175" i="12" s="1"/>
  <c r="AW175" i="12" s="1"/>
  <c r="BA174" i="12"/>
  <c r="AT174" i="12"/>
  <c r="AQ174" i="12"/>
  <c r="AR174" i="12" s="1"/>
  <c r="AS174" i="12" s="1"/>
  <c r="AU174" i="12" s="1"/>
  <c r="AG174" i="12"/>
  <c r="AD174" i="12"/>
  <c r="T174" i="12"/>
  <c r="Q174" i="12"/>
  <c r="BA173" i="12"/>
  <c r="AQ173" i="12"/>
  <c r="AT173" i="12" s="1"/>
  <c r="AD173" i="12"/>
  <c r="Q173" i="12"/>
  <c r="BA172" i="12"/>
  <c r="AT172" i="12"/>
  <c r="AQ172" i="12"/>
  <c r="AG172" i="12"/>
  <c r="AD172" i="12"/>
  <c r="T172" i="12"/>
  <c r="Q172" i="12"/>
  <c r="R172" i="12" s="1"/>
  <c r="S172" i="12" s="1"/>
  <c r="BA171" i="12"/>
  <c r="AT171" i="12"/>
  <c r="AQ171" i="12"/>
  <c r="AR171" i="12" s="1"/>
  <c r="AS171" i="12" s="1"/>
  <c r="AU171" i="12" s="1"/>
  <c r="AG171" i="12"/>
  <c r="AD171" i="12"/>
  <c r="AE171" i="12" s="1"/>
  <c r="AF171" i="12" s="1"/>
  <c r="AH171" i="12" s="1"/>
  <c r="T171" i="12"/>
  <c r="Q171" i="12"/>
  <c r="R171" i="12" s="1"/>
  <c r="S171" i="12" s="1"/>
  <c r="AV171" i="12" s="1"/>
  <c r="AW171" i="12" s="1"/>
  <c r="BA170" i="12"/>
  <c r="AT170" i="12"/>
  <c r="AQ170" i="12"/>
  <c r="AR170" i="12" s="1"/>
  <c r="AS170" i="12" s="1"/>
  <c r="AU170" i="12" s="1"/>
  <c r="AG170" i="12"/>
  <c r="AD170" i="12"/>
  <c r="T170" i="12"/>
  <c r="Q170" i="12"/>
  <c r="BA169" i="12"/>
  <c r="AT169" i="12"/>
  <c r="AQ169" i="12"/>
  <c r="AG169" i="12"/>
  <c r="AD169" i="12"/>
  <c r="T169" i="12"/>
  <c r="Q169" i="12"/>
  <c r="AF168" i="12"/>
  <c r="BA167" i="12"/>
  <c r="AT167" i="12"/>
  <c r="AQ167" i="12"/>
  <c r="AD167" i="12"/>
  <c r="AG167" i="12" s="1"/>
  <c r="T167" i="12"/>
  <c r="Q167" i="12"/>
  <c r="BA166" i="12"/>
  <c r="AT166" i="12"/>
  <c r="AQ166" i="12"/>
  <c r="AD166" i="12"/>
  <c r="T166" i="12"/>
  <c r="Q166" i="12"/>
  <c r="BA165" i="12"/>
  <c r="AT165" i="12"/>
  <c r="AQ165" i="12"/>
  <c r="AG165" i="12"/>
  <c r="AD165" i="12"/>
  <c r="T165" i="12"/>
  <c r="Q165" i="12"/>
  <c r="R165" i="12" s="1"/>
  <c r="S165" i="12" s="1"/>
  <c r="AF164" i="12"/>
  <c r="AF163" i="12"/>
  <c r="BA162" i="12"/>
  <c r="AQ162" i="12"/>
  <c r="AT162" i="12" s="1"/>
  <c r="AG162" i="12"/>
  <c r="AD162" i="12"/>
  <c r="T162" i="12"/>
  <c r="Q162" i="12"/>
  <c r="BA161" i="12"/>
  <c r="AD161" i="12"/>
  <c r="AG161" i="12" s="1"/>
  <c r="T161" i="12"/>
  <c r="R161" i="12"/>
  <c r="Q161" i="12"/>
  <c r="S161" i="12" s="1"/>
  <c r="BA160" i="12"/>
  <c r="AT160" i="12"/>
  <c r="AQ160" i="12"/>
  <c r="AR160" i="12" s="1"/>
  <c r="AS160" i="12" s="1"/>
  <c r="AU160" i="12" s="1"/>
  <c r="AG160" i="12"/>
  <c r="AD160" i="12"/>
  <c r="T160" i="12"/>
  <c r="Q160" i="12"/>
  <c r="BA159" i="12"/>
  <c r="AT159" i="12"/>
  <c r="AQ159" i="12"/>
  <c r="AR159" i="12" s="1"/>
  <c r="AS159" i="12" s="1"/>
  <c r="AU159" i="12" s="1"/>
  <c r="AG159" i="12"/>
  <c r="AD159" i="12"/>
  <c r="AE159" i="12" s="1"/>
  <c r="AF159" i="12" s="1"/>
  <c r="AH159" i="12" s="1"/>
  <c r="T159" i="12"/>
  <c r="Q159" i="12"/>
  <c r="AF158" i="12"/>
  <c r="BA157" i="12"/>
  <c r="AT157" i="12"/>
  <c r="AQ157" i="12"/>
  <c r="AG157" i="12"/>
  <c r="AD157" i="12"/>
  <c r="AE157" i="12" s="1"/>
  <c r="AF157" i="12" s="1"/>
  <c r="AH157" i="12" s="1"/>
  <c r="T157" i="12"/>
  <c r="Q157" i="12"/>
  <c r="R157" i="12" s="1"/>
  <c r="S157" i="12" s="1"/>
  <c r="BA156" i="12"/>
  <c r="AT156" i="12"/>
  <c r="AQ156" i="12"/>
  <c r="U16" i="4" s="1"/>
  <c r="AG156" i="12"/>
  <c r="AD156" i="12"/>
  <c r="O16" i="4" s="1"/>
  <c r="T156" i="12"/>
  <c r="Q156" i="12"/>
  <c r="I16" i="4" s="1"/>
  <c r="BA155" i="12"/>
  <c r="AT155" i="12"/>
  <c r="AQ155" i="12"/>
  <c r="AG155" i="12"/>
  <c r="AD155" i="12"/>
  <c r="T155" i="12"/>
  <c r="Q155" i="12"/>
  <c r="AF154" i="12"/>
  <c r="BA153" i="12"/>
  <c r="AT153" i="12"/>
  <c r="AQ153" i="12"/>
  <c r="AG153" i="12"/>
  <c r="AD153" i="12"/>
  <c r="T153" i="12"/>
  <c r="Q153" i="12"/>
  <c r="BA152" i="12"/>
  <c r="AT152" i="12"/>
  <c r="AQ152" i="12"/>
  <c r="AG152" i="12"/>
  <c r="AD152" i="12"/>
  <c r="T152" i="12"/>
  <c r="Q152" i="12"/>
  <c r="BA151" i="12"/>
  <c r="AT151" i="12"/>
  <c r="AQ151" i="12"/>
  <c r="AG151" i="12"/>
  <c r="AD151" i="12"/>
  <c r="AE151" i="12" s="1"/>
  <c r="AF151" i="12" s="1"/>
  <c r="AH151" i="12" s="1"/>
  <c r="T151" i="12"/>
  <c r="Q151" i="12"/>
  <c r="BA150" i="12"/>
  <c r="AT150" i="12"/>
  <c r="AQ150" i="12"/>
  <c r="AR150" i="12" s="1"/>
  <c r="AS150" i="12" s="1"/>
  <c r="AU150" i="12" s="1"/>
  <c r="AG150" i="12"/>
  <c r="AD150" i="12"/>
  <c r="AE150" i="12" s="1"/>
  <c r="AF150" i="12" s="1"/>
  <c r="AH150" i="12" s="1"/>
  <c r="T150" i="12"/>
  <c r="Q150" i="12"/>
  <c r="BA149" i="12"/>
  <c r="AT149" i="12"/>
  <c r="AQ149" i="12"/>
  <c r="AG149" i="12"/>
  <c r="AD149" i="12"/>
  <c r="T149" i="12"/>
  <c r="Q149" i="12"/>
  <c r="BA148" i="12"/>
  <c r="AT148" i="12"/>
  <c r="AQ148" i="12"/>
  <c r="AG148" i="12"/>
  <c r="AD148" i="12"/>
  <c r="T148" i="12"/>
  <c r="Q148" i="12"/>
  <c r="R148" i="12" s="1"/>
  <c r="S148" i="12" s="1"/>
  <c r="BA147" i="12"/>
  <c r="AT147" i="12"/>
  <c r="AQ147" i="12"/>
  <c r="AR147" i="12" s="1"/>
  <c r="AS147" i="12" s="1"/>
  <c r="AU147" i="12" s="1"/>
  <c r="AG147" i="12"/>
  <c r="AD147" i="12"/>
  <c r="AE147" i="12" s="1"/>
  <c r="AF147" i="12" s="1"/>
  <c r="AH147" i="12" s="1"/>
  <c r="T147" i="12"/>
  <c r="Q147" i="12"/>
  <c r="BA146" i="12"/>
  <c r="AT146" i="12"/>
  <c r="AQ146" i="12"/>
  <c r="AR146" i="12" s="1"/>
  <c r="AS146" i="12" s="1"/>
  <c r="AU146" i="12" s="1"/>
  <c r="AG146" i="12"/>
  <c r="AD146" i="12"/>
  <c r="AE146" i="12" s="1"/>
  <c r="AF146" i="12" s="1"/>
  <c r="AH146" i="12" s="1"/>
  <c r="T146" i="12"/>
  <c r="Q146" i="12"/>
  <c r="BA145" i="12"/>
  <c r="AT145" i="12"/>
  <c r="AQ145" i="12"/>
  <c r="AG145" i="12"/>
  <c r="AD145" i="12"/>
  <c r="T145" i="12"/>
  <c r="Q145" i="12"/>
  <c r="BA144" i="12"/>
  <c r="AT144" i="12"/>
  <c r="AQ144" i="12"/>
  <c r="U19" i="4" s="1"/>
  <c r="AG144" i="12"/>
  <c r="AD144" i="12"/>
  <c r="O19" i="4" s="1"/>
  <c r="T144" i="12"/>
  <c r="Q144" i="12"/>
  <c r="BA143" i="12"/>
  <c r="AT143" i="12"/>
  <c r="AR143" i="12"/>
  <c r="AQ143" i="12"/>
  <c r="AS143" i="12" s="1"/>
  <c r="AU143" i="12" s="1"/>
  <c r="AG143" i="12"/>
  <c r="AD143" i="12"/>
  <c r="AE143" i="12" s="1"/>
  <c r="AF143" i="12" s="1"/>
  <c r="AH143" i="12" s="1"/>
  <c r="T143" i="12"/>
  <c r="R143" i="12"/>
  <c r="S143" i="12" s="1"/>
  <c r="AV143" i="12" s="1"/>
  <c r="AW143" i="12" s="1"/>
  <c r="BA142" i="12"/>
  <c r="AT142" i="12"/>
  <c r="AR142" i="12"/>
  <c r="AQ142" i="12"/>
  <c r="AG142" i="12"/>
  <c r="AD142" i="12"/>
  <c r="T142" i="12"/>
  <c r="Q142" i="12"/>
  <c r="BA141" i="12"/>
  <c r="AT141" i="12"/>
  <c r="AR141" i="12"/>
  <c r="AQ141" i="12"/>
  <c r="AS141" i="12" s="1"/>
  <c r="AU141" i="12" s="1"/>
  <c r="AG141" i="12"/>
  <c r="AE141" i="12"/>
  <c r="AD141" i="12"/>
  <c r="AF141" i="12" s="1"/>
  <c r="AH141" i="12" s="1"/>
  <c r="T141" i="12"/>
  <c r="Q141" i="12"/>
  <c r="BA140" i="12"/>
  <c r="AT140" i="12"/>
  <c r="AQ140" i="12"/>
  <c r="AG140" i="12"/>
  <c r="AD140" i="12"/>
  <c r="T140" i="12"/>
  <c r="Q140" i="12"/>
  <c r="R140" i="12" s="1"/>
  <c r="S140" i="12" s="1"/>
  <c r="BA139" i="12"/>
  <c r="AT139" i="12"/>
  <c r="AR139" i="12"/>
  <c r="AS139" i="12" s="1"/>
  <c r="AU139" i="12" s="1"/>
  <c r="AD139" i="12"/>
  <c r="Q139" i="12"/>
  <c r="BA138" i="12"/>
  <c r="AT138" i="12"/>
  <c r="AQ138" i="12"/>
  <c r="U85" i="4" s="1"/>
  <c r="AG138" i="12"/>
  <c r="AE138" i="12"/>
  <c r="AD138" i="12"/>
  <c r="T138" i="12"/>
  <c r="R138" i="12"/>
  <c r="Q138" i="12"/>
  <c r="AF137" i="12"/>
  <c r="BA136" i="12"/>
  <c r="AT136" i="12"/>
  <c r="AQ136" i="12"/>
  <c r="AG136" i="12"/>
  <c r="AD136" i="12"/>
  <c r="AE136" i="12" s="1"/>
  <c r="T136" i="12"/>
  <c r="Q136" i="12"/>
  <c r="BA135" i="12"/>
  <c r="AT135" i="12"/>
  <c r="AR135" i="12"/>
  <c r="AQ135" i="12"/>
  <c r="AS135" i="12" s="1"/>
  <c r="AU135" i="12" s="1"/>
  <c r="AG135" i="12"/>
  <c r="AD135" i="12"/>
  <c r="T135" i="12"/>
  <c r="Q135" i="12"/>
  <c r="BA134" i="12"/>
  <c r="AT134" i="12"/>
  <c r="AQ134" i="12"/>
  <c r="AR134" i="12" s="1"/>
  <c r="AS134" i="12" s="1"/>
  <c r="AU134" i="12" s="1"/>
  <c r="AG134" i="12"/>
  <c r="AD134" i="12"/>
  <c r="AE134" i="12" s="1"/>
  <c r="AF134" i="12" s="1"/>
  <c r="AH134" i="12" s="1"/>
  <c r="T134" i="12"/>
  <c r="Q134" i="12"/>
  <c r="BA133" i="12"/>
  <c r="AT133" i="12"/>
  <c r="AR133" i="12"/>
  <c r="AQ133" i="12"/>
  <c r="AS133" i="12" s="1"/>
  <c r="AU133" i="12" s="1"/>
  <c r="AG133" i="12"/>
  <c r="AD133" i="12"/>
  <c r="AE133" i="12" s="1"/>
  <c r="AF133" i="12" s="1"/>
  <c r="AH133" i="12" s="1"/>
  <c r="T133" i="12"/>
  <c r="Q133" i="12"/>
  <c r="AF132" i="12"/>
  <c r="AF131" i="12"/>
  <c r="AF130" i="12"/>
  <c r="AF129" i="12"/>
  <c r="BA128" i="12"/>
  <c r="AT128" i="12"/>
  <c r="AQ128" i="12"/>
  <c r="AG128" i="12"/>
  <c r="AD128" i="12"/>
  <c r="AE128" i="12" s="1"/>
  <c r="AF128" i="12" s="1"/>
  <c r="AH128" i="12" s="1"/>
  <c r="T128" i="12"/>
  <c r="R128" i="12"/>
  <c r="Q128" i="12"/>
  <c r="S128" i="12" s="1"/>
  <c r="BA127" i="12"/>
  <c r="AT127" i="12"/>
  <c r="AQ127" i="12"/>
  <c r="AG127" i="12"/>
  <c r="AD127" i="12"/>
  <c r="AE127" i="12" s="1"/>
  <c r="AF127" i="12" s="1"/>
  <c r="AH127" i="12" s="1"/>
  <c r="T127" i="12"/>
  <c r="Q127" i="12"/>
  <c r="BA126" i="12"/>
  <c r="AT126" i="12"/>
  <c r="AQ126" i="12"/>
  <c r="AR126" i="12" s="1"/>
  <c r="AG126" i="12"/>
  <c r="AD126" i="12"/>
  <c r="T126" i="12"/>
  <c r="Q126" i="12"/>
  <c r="AT125" i="12"/>
  <c r="AQ125" i="12"/>
  <c r="AG125" i="12"/>
  <c r="AD125" i="12"/>
  <c r="T125" i="12"/>
  <c r="Q125" i="12"/>
  <c r="R125" i="12" s="1"/>
  <c r="S125" i="12" s="1"/>
  <c r="BA124" i="12"/>
  <c r="AT124" i="12"/>
  <c r="AQ124" i="12"/>
  <c r="AG124" i="12"/>
  <c r="AD124" i="12"/>
  <c r="T124" i="12"/>
  <c r="Q124" i="12"/>
  <c r="BA123" i="12"/>
  <c r="AT123" i="12"/>
  <c r="AQ123" i="12"/>
  <c r="AG123" i="12"/>
  <c r="AE123" i="12"/>
  <c r="AD123" i="12"/>
  <c r="T123" i="12"/>
  <c r="Q123" i="12"/>
  <c r="R123" i="12" s="1"/>
  <c r="S123" i="12" s="1"/>
  <c r="BA122" i="12"/>
  <c r="AT122" i="12"/>
  <c r="AQ122" i="12"/>
  <c r="AG122" i="12"/>
  <c r="AD122" i="12"/>
  <c r="T122" i="12"/>
  <c r="Q122" i="12"/>
  <c r="AF121" i="12"/>
  <c r="AF120" i="12"/>
  <c r="BA119" i="12"/>
  <c r="AT119" i="12"/>
  <c r="AQ119" i="12"/>
  <c r="AG119" i="12"/>
  <c r="AD119" i="12"/>
  <c r="AE119" i="12" s="1"/>
  <c r="T119" i="12"/>
  <c r="Q119" i="12"/>
  <c r="R119" i="12" s="1"/>
  <c r="S119" i="12" s="1"/>
  <c r="BA118" i="12"/>
  <c r="AT118" i="12"/>
  <c r="AQ118" i="12"/>
  <c r="AG118" i="12"/>
  <c r="AD118" i="12"/>
  <c r="AE118" i="12" s="1"/>
  <c r="T118" i="12"/>
  <c r="Q118" i="12"/>
  <c r="R118" i="12" s="1"/>
  <c r="S118" i="12" s="1"/>
  <c r="BA117" i="12"/>
  <c r="AT117" i="12"/>
  <c r="AR117" i="12"/>
  <c r="AQ117" i="12"/>
  <c r="AG117" i="12"/>
  <c r="AD117" i="12"/>
  <c r="O84" i="4" s="1"/>
  <c r="T117" i="12"/>
  <c r="Q117" i="12"/>
  <c r="BA116" i="12"/>
  <c r="AT116" i="12"/>
  <c r="AQ116" i="12"/>
  <c r="AG116" i="12"/>
  <c r="AD116" i="12"/>
  <c r="T116" i="12"/>
  <c r="Q116" i="12"/>
  <c r="BA115" i="12"/>
  <c r="AT115" i="12"/>
  <c r="AQ115" i="12"/>
  <c r="AG115" i="12"/>
  <c r="AD115" i="12"/>
  <c r="T115" i="12"/>
  <c r="Q115" i="12"/>
  <c r="R115" i="12" s="1"/>
  <c r="S115" i="12" s="1"/>
  <c r="BA114" i="12"/>
  <c r="AT114" i="12"/>
  <c r="AQ114" i="12"/>
  <c r="AG114" i="12"/>
  <c r="AD114" i="12"/>
  <c r="T114" i="12"/>
  <c r="Q114" i="12"/>
  <c r="R114" i="12" s="1"/>
  <c r="S114" i="12" s="1"/>
  <c r="BA113" i="12"/>
  <c r="AT113" i="12"/>
  <c r="AQ113" i="12"/>
  <c r="AG113" i="12"/>
  <c r="AD113" i="12"/>
  <c r="T113" i="12"/>
  <c r="Q113" i="12"/>
  <c r="R113" i="12" s="1"/>
  <c r="S113" i="12" s="1"/>
  <c r="BA112" i="12"/>
  <c r="AT112" i="12"/>
  <c r="AQ112" i="12"/>
  <c r="AG112" i="12"/>
  <c r="AD112" i="12"/>
  <c r="T112" i="12"/>
  <c r="Q112" i="12"/>
  <c r="BA111" i="12"/>
  <c r="AT111" i="12"/>
  <c r="AQ111" i="12"/>
  <c r="AG111" i="12"/>
  <c r="AD111" i="12"/>
  <c r="T111" i="12"/>
  <c r="Q111" i="12"/>
  <c r="R111" i="12" s="1"/>
  <c r="S111" i="12" s="1"/>
  <c r="BA110" i="12"/>
  <c r="AT110" i="12"/>
  <c r="AQ110" i="12"/>
  <c r="AG110" i="12"/>
  <c r="AE110" i="12"/>
  <c r="AF110" i="12" s="1"/>
  <c r="AH110" i="12" s="1"/>
  <c r="T110" i="12"/>
  <c r="Q110" i="12"/>
  <c r="AF109" i="12"/>
  <c r="BA108" i="12"/>
  <c r="AT108" i="12"/>
  <c r="AQ108" i="12"/>
  <c r="AG108" i="12"/>
  <c r="AE108" i="12"/>
  <c r="AD108" i="12"/>
  <c r="AF108" i="12" s="1"/>
  <c r="AH108" i="12" s="1"/>
  <c r="T108" i="12"/>
  <c r="R108" i="12"/>
  <c r="Q108" i="12"/>
  <c r="BA107" i="12"/>
  <c r="AT107" i="12"/>
  <c r="AR107" i="12"/>
  <c r="AQ107" i="12"/>
  <c r="AS107" i="12" s="1"/>
  <c r="AU107" i="12" s="1"/>
  <c r="AG107" i="12"/>
  <c r="AD107" i="12"/>
  <c r="T107" i="12"/>
  <c r="Q107" i="12"/>
  <c r="AF106" i="12"/>
  <c r="AF105" i="12"/>
  <c r="BA104" i="12"/>
  <c r="AT104" i="12"/>
  <c r="AR104" i="12"/>
  <c r="AQ104" i="12"/>
  <c r="AS104" i="12" s="1"/>
  <c r="AU104" i="12" s="1"/>
  <c r="AG104" i="12"/>
  <c r="AD104" i="12"/>
  <c r="T104" i="12"/>
  <c r="Q104" i="12"/>
  <c r="R104" i="12" s="1"/>
  <c r="S104" i="12" s="1"/>
  <c r="BA103" i="12"/>
  <c r="AT103" i="12"/>
  <c r="AR103" i="12"/>
  <c r="AQ103" i="12"/>
  <c r="AS103" i="12" s="1"/>
  <c r="AU103" i="12" s="1"/>
  <c r="AG103" i="12"/>
  <c r="AE103" i="12"/>
  <c r="AD103" i="12"/>
  <c r="AF103" i="12" s="1"/>
  <c r="AH103" i="12" s="1"/>
  <c r="T103" i="12"/>
  <c r="R103" i="12"/>
  <c r="Q103" i="12"/>
  <c r="BA102" i="12"/>
  <c r="AT102" i="12"/>
  <c r="AQ102" i="12"/>
  <c r="AG102" i="12"/>
  <c r="AD102" i="12"/>
  <c r="T102" i="12"/>
  <c r="Q102" i="12"/>
  <c r="BA101" i="12"/>
  <c r="AT101" i="12"/>
  <c r="AQ101" i="12"/>
  <c r="AG101" i="12"/>
  <c r="AD101" i="12"/>
  <c r="T101" i="12"/>
  <c r="Q101" i="12"/>
  <c r="R101" i="12" s="1"/>
  <c r="S101" i="12" s="1"/>
  <c r="BA100" i="12"/>
  <c r="AT100" i="12"/>
  <c r="AQ100" i="12"/>
  <c r="AG100" i="12"/>
  <c r="AD100" i="12"/>
  <c r="T100" i="12"/>
  <c r="Q100" i="12"/>
  <c r="R100" i="12" s="1"/>
  <c r="S100" i="12" s="1"/>
  <c r="BA99" i="12"/>
  <c r="AT99" i="12"/>
  <c r="AQ99" i="12"/>
  <c r="AG99" i="12"/>
  <c r="AD99" i="12"/>
  <c r="T99" i="12"/>
  <c r="Q99" i="12"/>
  <c r="R99" i="12" s="1"/>
  <c r="S99" i="12" s="1"/>
  <c r="BA98" i="12"/>
  <c r="AT98" i="12"/>
  <c r="AQ98" i="12"/>
  <c r="AG98" i="12"/>
  <c r="AD98" i="12"/>
  <c r="T98" i="12"/>
  <c r="Q98" i="12"/>
  <c r="BA97" i="12"/>
  <c r="AT97" i="12"/>
  <c r="AQ97" i="12"/>
  <c r="AG97" i="12"/>
  <c r="AD97" i="12"/>
  <c r="T97" i="12"/>
  <c r="Q97" i="12"/>
  <c r="R97" i="12" s="1"/>
  <c r="S97" i="12" s="1"/>
  <c r="BA96" i="12"/>
  <c r="AT96" i="12"/>
  <c r="AQ96" i="12"/>
  <c r="AG96" i="12"/>
  <c r="AD96" i="12"/>
  <c r="T96" i="12"/>
  <c r="Q96" i="12"/>
  <c r="S96" i="12" s="1"/>
  <c r="BA95" i="12"/>
  <c r="AT95" i="12"/>
  <c r="AQ95" i="12"/>
  <c r="AR95" i="12" s="1"/>
  <c r="AS95" i="12" s="1"/>
  <c r="AU95" i="12" s="1"/>
  <c r="AG95" i="12"/>
  <c r="AD95" i="12"/>
  <c r="T95" i="12"/>
  <c r="Q95" i="12"/>
  <c r="BA94" i="12"/>
  <c r="AT94" i="12"/>
  <c r="AQ94" i="12"/>
  <c r="AR94" i="12" s="1"/>
  <c r="AS94" i="12" s="1"/>
  <c r="AU94" i="12" s="1"/>
  <c r="AG94" i="12"/>
  <c r="AD94" i="12"/>
  <c r="T94" i="12"/>
  <c r="Q94" i="12"/>
  <c r="BA93" i="12"/>
  <c r="AT93" i="12"/>
  <c r="AQ93" i="12"/>
  <c r="AR93" i="12" s="1"/>
  <c r="AS93" i="12" s="1"/>
  <c r="AU93" i="12" s="1"/>
  <c r="AG93" i="12"/>
  <c r="AD93" i="12"/>
  <c r="T93" i="12"/>
  <c r="Q93" i="12"/>
  <c r="BA92" i="12"/>
  <c r="AT92" i="12"/>
  <c r="AQ92" i="12"/>
  <c r="AR92" i="12" s="1"/>
  <c r="AS92" i="12" s="1"/>
  <c r="AU92" i="12" s="1"/>
  <c r="AG92" i="12"/>
  <c r="AD92" i="12"/>
  <c r="T92" i="12"/>
  <c r="Q92" i="12"/>
  <c r="BA91" i="12"/>
  <c r="AT91" i="12"/>
  <c r="AQ91" i="12"/>
  <c r="AR91" i="12" s="1"/>
  <c r="AS91" i="12" s="1"/>
  <c r="AU91" i="12" s="1"/>
  <c r="AG91" i="12"/>
  <c r="AD91" i="12"/>
  <c r="T91" i="12"/>
  <c r="Q91" i="12"/>
  <c r="BA90" i="12"/>
  <c r="AT90" i="12"/>
  <c r="AQ90" i="12"/>
  <c r="AR90" i="12" s="1"/>
  <c r="AS90" i="12" s="1"/>
  <c r="AU90" i="12" s="1"/>
  <c r="AG90" i="12"/>
  <c r="AD90" i="12"/>
  <c r="T90" i="12"/>
  <c r="Q90" i="12"/>
  <c r="BA89" i="12"/>
  <c r="AT89" i="12"/>
  <c r="AQ89" i="12"/>
  <c r="AR89" i="12" s="1"/>
  <c r="AS89" i="12" s="1"/>
  <c r="AU89" i="12" s="1"/>
  <c r="AG89" i="12"/>
  <c r="AD89" i="12"/>
  <c r="T89" i="12"/>
  <c r="Q89" i="12"/>
  <c r="BA88" i="12"/>
  <c r="AT88" i="12"/>
  <c r="AQ88" i="12"/>
  <c r="AR88" i="12" s="1"/>
  <c r="AS88" i="12" s="1"/>
  <c r="AU88" i="12" s="1"/>
  <c r="AG88" i="12"/>
  <c r="AD88" i="12"/>
  <c r="T88" i="12"/>
  <c r="Q88" i="12"/>
  <c r="BA87" i="12"/>
  <c r="AT87" i="12"/>
  <c r="AQ87" i="12"/>
  <c r="AR87" i="12" s="1"/>
  <c r="AS87" i="12" s="1"/>
  <c r="AU87" i="12" s="1"/>
  <c r="AG87" i="12"/>
  <c r="AD87" i="12"/>
  <c r="T87" i="12"/>
  <c r="Q87" i="12"/>
  <c r="AF86" i="12"/>
  <c r="BA85" i="12"/>
  <c r="AT85" i="12"/>
  <c r="AQ85" i="12"/>
  <c r="AG85" i="12"/>
  <c r="AD85" i="12"/>
  <c r="AE85" i="12" s="1"/>
  <c r="AF85" i="12" s="1"/>
  <c r="AH85" i="12" s="1"/>
  <c r="T85" i="12"/>
  <c r="Q85" i="12"/>
  <c r="R85" i="12" s="1"/>
  <c r="S85" i="12" s="1"/>
  <c r="AF84" i="12"/>
  <c r="AF83" i="12"/>
  <c r="BA82" i="12"/>
  <c r="AT82" i="12"/>
  <c r="AQ82" i="12"/>
  <c r="AG82" i="12"/>
  <c r="AD82" i="12"/>
  <c r="AE82" i="12" s="1"/>
  <c r="AF82" i="12" s="1"/>
  <c r="AH82" i="12" s="1"/>
  <c r="T82" i="12"/>
  <c r="Q82" i="12"/>
  <c r="R82" i="12" s="1"/>
  <c r="S82" i="12" s="1"/>
  <c r="AF81" i="12"/>
  <c r="AF80" i="12"/>
  <c r="AF79" i="12"/>
  <c r="AF78" i="12"/>
  <c r="AF77" i="12"/>
  <c r="AF76" i="12"/>
  <c r="BA75" i="12"/>
  <c r="AG75" i="12"/>
  <c r="AD75" i="12"/>
  <c r="T75" i="12"/>
  <c r="Q75" i="12"/>
  <c r="R75" i="12" s="1"/>
  <c r="S75" i="12" s="1"/>
  <c r="BA74" i="12"/>
  <c r="AG74" i="12"/>
  <c r="AD74" i="12"/>
  <c r="T74" i="12"/>
  <c r="Q74" i="12"/>
  <c r="BA73" i="12"/>
  <c r="AG73" i="12"/>
  <c r="AD73" i="12"/>
  <c r="AE73" i="12" s="1"/>
  <c r="AF73" i="12" s="1"/>
  <c r="AH73" i="12" s="1"/>
  <c r="T73" i="12"/>
  <c r="Q73" i="12"/>
  <c r="BA72" i="12"/>
  <c r="AT72" i="12"/>
  <c r="AQ72" i="12"/>
  <c r="AR72" i="12" s="1"/>
  <c r="AS72" i="12" s="1"/>
  <c r="AU72" i="12" s="1"/>
  <c r="AG72" i="12"/>
  <c r="AD72" i="12"/>
  <c r="AE72" i="12" s="1"/>
  <c r="AF72" i="12" s="1"/>
  <c r="AH72" i="12" s="1"/>
  <c r="T72" i="12"/>
  <c r="R72" i="12"/>
  <c r="S72" i="12" s="1"/>
  <c r="AV72" i="12" s="1"/>
  <c r="AW72" i="12" s="1"/>
  <c r="AF71" i="12"/>
  <c r="AF70" i="12"/>
  <c r="BA69" i="12"/>
  <c r="AT69" i="12"/>
  <c r="AQ69" i="12"/>
  <c r="AG69" i="12"/>
  <c r="AD69" i="12"/>
  <c r="AE69" i="12" s="1"/>
  <c r="AF69" i="12" s="1"/>
  <c r="AH69" i="12" s="1"/>
  <c r="T69" i="12"/>
  <c r="Q69" i="12"/>
  <c r="R69" i="12" s="1"/>
  <c r="S69" i="12" s="1"/>
  <c r="AF68" i="12"/>
  <c r="BA67" i="12"/>
  <c r="AG67" i="12"/>
  <c r="AD67" i="12"/>
  <c r="AE67" i="12" s="1"/>
  <c r="AF67" i="12" s="1"/>
  <c r="AH67" i="12" s="1"/>
  <c r="T67" i="12"/>
  <c r="Q67" i="12"/>
  <c r="BA66" i="12"/>
  <c r="AG66" i="12"/>
  <c r="AD66" i="12"/>
  <c r="AE66" i="12" s="1"/>
  <c r="AF66" i="12" s="1"/>
  <c r="AH66" i="12" s="1"/>
  <c r="T66" i="12"/>
  <c r="Q66" i="12"/>
  <c r="R66" i="12" s="1"/>
  <c r="S66" i="12" s="1"/>
  <c r="AV66" i="12" s="1"/>
  <c r="AW66" i="12" s="1"/>
  <c r="BA65" i="12"/>
  <c r="AT65" i="12"/>
  <c r="AQ65" i="12"/>
  <c r="AG65" i="12"/>
  <c r="AD65" i="12"/>
  <c r="AE65" i="12" s="1"/>
  <c r="AF65" i="12" s="1"/>
  <c r="AH65" i="12" s="1"/>
  <c r="T65" i="12"/>
  <c r="Q65" i="12"/>
  <c r="R65" i="12" s="1"/>
  <c r="S65" i="12" s="1"/>
  <c r="AF64" i="12"/>
  <c r="AF63" i="12"/>
  <c r="AF62" i="12"/>
  <c r="AF61" i="12"/>
  <c r="BA60" i="12"/>
  <c r="AT60" i="12"/>
  <c r="AQ60" i="12"/>
  <c r="AG60" i="12"/>
  <c r="AD60" i="12"/>
  <c r="AE60" i="12" s="1"/>
  <c r="AF60" i="12" s="1"/>
  <c r="AH60" i="12" s="1"/>
  <c r="T60" i="12"/>
  <c r="Q60" i="12"/>
  <c r="R60" i="12" s="1"/>
  <c r="S60" i="12" s="1"/>
  <c r="BA59" i="12"/>
  <c r="AT59" i="12"/>
  <c r="AQ59" i="12"/>
  <c r="AG59" i="12"/>
  <c r="AD59" i="12"/>
  <c r="AE59" i="12" s="1"/>
  <c r="AF59" i="12" s="1"/>
  <c r="AH59" i="12" s="1"/>
  <c r="T59" i="12"/>
  <c r="Q59" i="12"/>
  <c r="R59" i="12" s="1"/>
  <c r="S59" i="12" s="1"/>
  <c r="BA58" i="12"/>
  <c r="AT58" i="12"/>
  <c r="AQ58" i="12"/>
  <c r="AG58" i="12"/>
  <c r="AD58" i="12"/>
  <c r="T58" i="12"/>
  <c r="Q58" i="12"/>
  <c r="R58" i="12" s="1"/>
  <c r="S58" i="12" s="1"/>
  <c r="AF57" i="12"/>
  <c r="BA56" i="12"/>
  <c r="AG56" i="12"/>
  <c r="AD56" i="12"/>
  <c r="AE56" i="12" s="1"/>
  <c r="AF56" i="12" s="1"/>
  <c r="AH56" i="12" s="1"/>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F52" i="12"/>
  <c r="BA51" i="12"/>
  <c r="AT51" i="12"/>
  <c r="AQ51" i="12"/>
  <c r="AR51" i="12" s="1"/>
  <c r="AS51" i="12" s="1"/>
  <c r="AU51" i="12" s="1"/>
  <c r="AG51" i="12"/>
  <c r="AD51" i="12"/>
  <c r="AE51" i="12" s="1"/>
  <c r="AF51" i="12" s="1"/>
  <c r="AH51" i="12" s="1"/>
  <c r="T51" i="12"/>
  <c r="Q51" i="12"/>
  <c r="AF50" i="12"/>
  <c r="AF49" i="12"/>
  <c r="AF48" i="12"/>
  <c r="AF47" i="12"/>
  <c r="BA46" i="12"/>
  <c r="AT46" i="12"/>
  <c r="AQ46" i="12"/>
  <c r="AR46" i="12" s="1"/>
  <c r="AS46" i="12" s="1"/>
  <c r="AU46" i="12" s="1"/>
  <c r="AG46" i="12"/>
  <c r="AD46" i="12"/>
  <c r="AE46" i="12" s="1"/>
  <c r="AF46" i="12" s="1"/>
  <c r="AH46" i="12" s="1"/>
  <c r="T46" i="12"/>
  <c r="Q46" i="12"/>
  <c r="AF45" i="12"/>
  <c r="AF44" i="12"/>
  <c r="AF43" i="12"/>
  <c r="AF42" i="12"/>
  <c r="AF41" i="12"/>
  <c r="AF40" i="12"/>
  <c r="AF39" i="12"/>
  <c r="AF38" i="12"/>
  <c r="AF37" i="12"/>
  <c r="AF36" i="12"/>
  <c r="AF35" i="12"/>
  <c r="AF34" i="12"/>
  <c r="AF33" i="12"/>
  <c r="AF32" i="12"/>
  <c r="AF31" i="12"/>
  <c r="AG30" i="12"/>
  <c r="AE30" i="12"/>
  <c r="AF30" i="12" s="1"/>
  <c r="Q30" i="12"/>
  <c r="R30" i="12" s="1"/>
  <c r="AF29" i="12"/>
  <c r="AF28" i="12"/>
  <c r="BA27" i="12"/>
  <c r="AT27" i="12"/>
  <c r="AQ27" i="12"/>
  <c r="AR27" i="12" s="1"/>
  <c r="AS27" i="12" s="1"/>
  <c r="AU27" i="12" s="1"/>
  <c r="AG27" i="12"/>
  <c r="AD27" i="12"/>
  <c r="AE27" i="12" s="1"/>
  <c r="AF27" i="12" s="1"/>
  <c r="AH27" i="12" s="1"/>
  <c r="T27" i="12"/>
  <c r="Q27" i="12"/>
  <c r="AF26" i="12"/>
  <c r="AF25" i="12"/>
  <c r="AF24" i="12"/>
  <c r="AF23" i="12"/>
  <c r="AF22" i="12"/>
  <c r="AF21" i="12"/>
  <c r="BA20" i="12"/>
  <c r="AT20" i="12"/>
  <c r="AR20" i="12"/>
  <c r="AQ20" i="12"/>
  <c r="AG20" i="12"/>
  <c r="AE20" i="12"/>
  <c r="AD20" i="12"/>
  <c r="AF20" i="12" s="1"/>
  <c r="AH20" i="12" s="1"/>
  <c r="T20" i="12"/>
  <c r="R20" i="12"/>
  <c r="S20" i="12" s="1"/>
  <c r="BA19" i="12"/>
  <c r="AT19" i="12"/>
  <c r="AQ19" i="12"/>
  <c r="AG19" i="12"/>
  <c r="AD19" i="12"/>
  <c r="T19" i="12"/>
  <c r="Q19" i="12"/>
  <c r="BA18" i="12"/>
  <c r="AQ18" i="12"/>
  <c r="AD18" i="12"/>
  <c r="Q18" i="12"/>
  <c r="R18" i="12" s="1"/>
  <c r="BA17" i="12"/>
  <c r="AQ17" i="12"/>
  <c r="AG17" i="12"/>
  <c r="AD17" i="12"/>
  <c r="AE17" i="12" s="1"/>
  <c r="AF17" i="12" s="1"/>
  <c r="AH17" i="12" s="1"/>
  <c r="Q17" i="12"/>
  <c r="BA16" i="12"/>
  <c r="AD16" i="12"/>
  <c r="Q16" i="12"/>
  <c r="R16" i="12" s="1"/>
  <c r="U16" i="12" s="1"/>
  <c r="BA15" i="12"/>
  <c r="AQ15" i="12"/>
  <c r="AD15" i="12"/>
  <c r="Q15" i="12"/>
  <c r="BA14" i="12"/>
  <c r="AT14" i="12"/>
  <c r="AQ14" i="12"/>
  <c r="AG14" i="12"/>
  <c r="AD14" i="12"/>
  <c r="T14" i="12"/>
  <c r="Q14" i="12"/>
  <c r="R14" i="12" s="1"/>
  <c r="S14" i="12" s="1"/>
  <c r="AF13" i="12"/>
  <c r="BA12" i="12"/>
  <c r="AT12" i="12"/>
  <c r="AQ12" i="12"/>
  <c r="AG12" i="12"/>
  <c r="AD12" i="12"/>
  <c r="T12" i="12"/>
  <c r="Q12" i="12"/>
  <c r="BA11" i="12"/>
  <c r="AT11" i="12"/>
  <c r="AR11" i="12"/>
  <c r="AQ11" i="12"/>
  <c r="U22" i="4" s="1"/>
  <c r="AG11" i="12"/>
  <c r="AD11" i="12"/>
  <c r="T11" i="12"/>
  <c r="Q11" i="12"/>
  <c r="I22" i="4" s="1"/>
  <c r="BA10" i="12"/>
  <c r="AT10" i="12"/>
  <c r="AR10" i="12"/>
  <c r="AQ10" i="12"/>
  <c r="U71" i="4" s="1"/>
  <c r="X71" i="4" s="1"/>
  <c r="AG10" i="12"/>
  <c r="AE10" i="12"/>
  <c r="AD10" i="12"/>
  <c r="T10" i="12"/>
  <c r="Q10" i="12"/>
  <c r="I71" i="4" s="1"/>
  <c r="BA9" i="12"/>
  <c r="AT9" i="12"/>
  <c r="AR9" i="12"/>
  <c r="AQ9" i="12"/>
  <c r="AG9" i="12"/>
  <c r="AD9" i="12"/>
  <c r="AE9" i="12" s="1"/>
  <c r="AF9" i="12" s="1"/>
  <c r="AH9" i="12" s="1"/>
  <c r="T9" i="12"/>
  <c r="Q9" i="12"/>
  <c r="BA8" i="12"/>
  <c r="AT8" i="12"/>
  <c r="AQ8" i="12"/>
  <c r="AG8" i="12"/>
  <c r="AE8" i="12"/>
  <c r="AF8" i="12" s="1"/>
  <c r="AH8" i="12" s="1"/>
  <c r="T8" i="12"/>
  <c r="Q8" i="12"/>
  <c r="R8" i="12" s="1"/>
  <c r="S8" i="12" s="1"/>
  <c r="BA7" i="12"/>
  <c r="AT7" i="12"/>
  <c r="AQ7" i="12"/>
  <c r="AG7" i="12"/>
  <c r="AE7" i="12"/>
  <c r="AD7" i="12"/>
  <c r="T7" i="12"/>
  <c r="Q7" i="12"/>
  <c r="R7" i="12" s="1"/>
  <c r="S7" i="12" s="1"/>
  <c r="BA6" i="12"/>
  <c r="AT6" i="12"/>
  <c r="AQ6" i="12"/>
  <c r="AG6" i="12"/>
  <c r="AD6" i="12"/>
  <c r="AE6" i="12" s="1"/>
  <c r="AF6" i="12" s="1"/>
  <c r="AH6" i="12" s="1"/>
  <c r="T6" i="12"/>
  <c r="Q6" i="12"/>
  <c r="R6" i="12" s="1"/>
  <c r="S6" i="12" s="1"/>
  <c r="BA5" i="12"/>
  <c r="AT5" i="12"/>
  <c r="AQ5" i="12"/>
  <c r="AG5" i="12"/>
  <c r="AD5" i="12"/>
  <c r="T5" i="12"/>
  <c r="Q5" i="12"/>
  <c r="S5" i="12" s="1"/>
  <c r="BA4" i="12"/>
  <c r="AT4" i="12"/>
  <c r="AQ4" i="12"/>
  <c r="AG4" i="12"/>
  <c r="AD4" i="12"/>
  <c r="T4" i="12"/>
  <c r="Q4" i="12"/>
  <c r="R4" i="12" s="1"/>
  <c r="S4" i="12" s="1"/>
  <c r="BA3" i="12"/>
  <c r="AT3" i="12"/>
  <c r="AQ3" i="12"/>
  <c r="AG3" i="12"/>
  <c r="AD3" i="12"/>
  <c r="T3" i="12"/>
  <c r="Q3" i="12"/>
  <c r="R3" i="12" s="1"/>
  <c r="S3" i="12" s="1"/>
  <c r="AC83" i="4" l="1"/>
  <c r="AS226" i="12"/>
  <c r="AU226" i="12" s="1"/>
  <c r="AC9" i="14"/>
  <c r="AS246" i="12"/>
  <c r="AU246" i="12" s="1"/>
  <c r="U10" i="4"/>
  <c r="P10" i="4"/>
  <c r="Q10" i="4" s="1"/>
  <c r="S10" i="4" s="1"/>
  <c r="R10" i="4"/>
  <c r="J10" i="4"/>
  <c r="K10" i="4" s="1"/>
  <c r="L10" i="4"/>
  <c r="AF219" i="12"/>
  <c r="AH219" i="12" s="1"/>
  <c r="O10" i="14"/>
  <c r="S219" i="12"/>
  <c r="AV219" i="12" s="1"/>
  <c r="AW219" i="12" s="1"/>
  <c r="I10" i="14"/>
  <c r="P27" i="4"/>
  <c r="Q27" i="4" s="1"/>
  <c r="S27" i="4" s="1"/>
  <c r="R27" i="4"/>
  <c r="L27" i="4"/>
  <c r="J27" i="4"/>
  <c r="K27" i="4"/>
  <c r="M27" i="4" s="1"/>
  <c r="X21" i="4"/>
  <c r="V21" i="4"/>
  <c r="W21" i="4" s="1"/>
  <c r="Y21" i="4" s="1"/>
  <c r="AE201" i="12"/>
  <c r="AF201" i="12" s="1"/>
  <c r="AH201" i="12" s="1"/>
  <c r="O21" i="4"/>
  <c r="L21" i="4"/>
  <c r="J21" i="4"/>
  <c r="K21" i="4" s="1"/>
  <c r="M21" i="4" s="1"/>
  <c r="X18" i="4"/>
  <c r="V18" i="4"/>
  <c r="W18" i="4"/>
  <c r="Y18" i="4" s="1"/>
  <c r="R18" i="4"/>
  <c r="P18" i="4"/>
  <c r="Q18" i="4" s="1"/>
  <c r="S18" i="4" s="1"/>
  <c r="R191" i="12"/>
  <c r="S191" i="12" s="1"/>
  <c r="I18" i="4"/>
  <c r="X20" i="4"/>
  <c r="V20" i="4"/>
  <c r="W20" i="4"/>
  <c r="Y20" i="4" s="1"/>
  <c r="R20" i="4"/>
  <c r="P20" i="4"/>
  <c r="Q20" i="4" s="1"/>
  <c r="S20" i="4" s="1"/>
  <c r="L20" i="4"/>
  <c r="J20" i="4"/>
  <c r="K20" i="4" s="1"/>
  <c r="M20" i="4" s="1"/>
  <c r="X16" i="4"/>
  <c r="V16" i="4"/>
  <c r="W16" i="4" s="1"/>
  <c r="Y16" i="4" s="1"/>
  <c r="R16" i="4"/>
  <c r="P16" i="4"/>
  <c r="Q16" i="4" s="1"/>
  <c r="S16" i="4" s="1"/>
  <c r="L16" i="4"/>
  <c r="J16" i="4"/>
  <c r="K16" i="4" s="1"/>
  <c r="M16" i="4" s="1"/>
  <c r="X19" i="4"/>
  <c r="V19" i="4"/>
  <c r="W19" i="4" s="1"/>
  <c r="Y19" i="4" s="1"/>
  <c r="R19" i="4"/>
  <c r="P19" i="4"/>
  <c r="Q19" i="4" s="1"/>
  <c r="S19" i="4" s="1"/>
  <c r="R144" i="12"/>
  <c r="S144" i="12" s="1"/>
  <c r="I19" i="4"/>
  <c r="V85" i="4"/>
  <c r="W85" i="4" s="1"/>
  <c r="Y85" i="4" s="1"/>
  <c r="X85" i="4"/>
  <c r="AF138" i="12"/>
  <c r="AH138" i="12" s="1"/>
  <c r="O85" i="4"/>
  <c r="S138" i="12"/>
  <c r="I85" i="4"/>
  <c r="AS117" i="12"/>
  <c r="AU117" i="12" s="1"/>
  <c r="U84" i="4"/>
  <c r="P84" i="4"/>
  <c r="Q84" i="4" s="1"/>
  <c r="S84" i="4" s="1"/>
  <c r="R84" i="4"/>
  <c r="R117" i="12"/>
  <c r="S117" i="12" s="1"/>
  <c r="I84" i="4"/>
  <c r="X22" i="4"/>
  <c r="V22" i="4"/>
  <c r="W22" i="4"/>
  <c r="Y22" i="4" s="1"/>
  <c r="AE11" i="12"/>
  <c r="AF11" i="12" s="1"/>
  <c r="AH11" i="12" s="1"/>
  <c r="O22" i="4"/>
  <c r="L22" i="4"/>
  <c r="J22" i="4"/>
  <c r="K22" i="4" s="1"/>
  <c r="M22" i="4" s="1"/>
  <c r="AF10" i="12"/>
  <c r="AH10" i="12" s="1"/>
  <c r="O71" i="4"/>
  <c r="J71" i="4"/>
  <c r="K71" i="4" s="1"/>
  <c r="L71" i="4"/>
  <c r="CR9" i="14"/>
  <c r="AB4" i="14"/>
  <c r="AB6" i="14" s="1"/>
  <c r="AC12" i="14"/>
  <c r="CR12" i="14" s="1"/>
  <c r="AC13" i="14"/>
  <c r="CR13" i="14" s="1"/>
  <c r="AR4" i="12"/>
  <c r="AS4" i="12" s="1"/>
  <c r="AU4" i="12" s="1"/>
  <c r="U5" i="12"/>
  <c r="AE5" i="12"/>
  <c r="AF5" i="12" s="1"/>
  <c r="AH5" i="12" s="1"/>
  <c r="AF7" i="12"/>
  <c r="AR8" i="12"/>
  <c r="AS8" i="12" s="1"/>
  <c r="AS9" i="12"/>
  <c r="AU9" i="12" s="1"/>
  <c r="AS10" i="12"/>
  <c r="AU10" i="12" s="1"/>
  <c r="R11" i="12"/>
  <c r="S11" i="12" s="1"/>
  <c r="U11" i="12" s="1"/>
  <c r="AX11" i="12" s="1"/>
  <c r="AS11" i="12"/>
  <c r="AU11" i="12" s="1"/>
  <c r="AR12" i="12"/>
  <c r="AS12" i="12" s="1"/>
  <c r="AU12" i="12" s="1"/>
  <c r="AG13" i="12"/>
  <c r="AV13" i="12"/>
  <c r="AW13" i="12" s="1"/>
  <c r="R15" i="12"/>
  <c r="S15" i="12" s="1"/>
  <c r="AE18" i="12"/>
  <c r="AE19" i="12"/>
  <c r="AF19" i="12" s="1"/>
  <c r="AH19" i="12" s="1"/>
  <c r="AS20" i="12"/>
  <c r="AV21" i="12"/>
  <c r="AW21" i="12" s="1"/>
  <c r="AG21" i="12"/>
  <c r="AV22" i="12"/>
  <c r="AW22" i="12" s="1"/>
  <c r="AG22" i="12"/>
  <c r="AG23" i="12"/>
  <c r="AV23" i="12"/>
  <c r="AW23" i="12" s="1"/>
  <c r="AV24" i="12"/>
  <c r="AW24" i="12" s="1"/>
  <c r="AG24" i="12"/>
  <c r="AG25" i="12"/>
  <c r="AV25" i="12"/>
  <c r="AW25" i="12" s="1"/>
  <c r="AV26" i="12"/>
  <c r="AW26" i="12" s="1"/>
  <c r="AG26" i="12"/>
  <c r="AV28" i="12"/>
  <c r="AW28" i="12" s="1"/>
  <c r="AG28" i="12"/>
  <c r="AV29" i="12"/>
  <c r="AW29" i="12" s="1"/>
  <c r="AG29" i="12"/>
  <c r="AH30" i="12"/>
  <c r="AV30" i="12"/>
  <c r="AW30" i="12" s="1"/>
  <c r="AV31" i="12"/>
  <c r="AW31" i="12" s="1"/>
  <c r="AG31" i="12"/>
  <c r="AV32" i="12"/>
  <c r="AW32" i="12" s="1"/>
  <c r="AG32" i="12"/>
  <c r="AV33" i="12"/>
  <c r="AW33" i="12" s="1"/>
  <c r="AG33" i="12"/>
  <c r="AG34" i="12"/>
  <c r="AV34" i="12"/>
  <c r="AW34" i="12" s="1"/>
  <c r="AV35" i="12"/>
  <c r="AW35" i="12" s="1"/>
  <c r="AG35" i="12"/>
  <c r="AG36" i="12"/>
  <c r="AV36" i="12"/>
  <c r="AW36" i="12" s="1"/>
  <c r="AV37" i="12"/>
  <c r="AW37" i="12" s="1"/>
  <c r="AG37" i="12"/>
  <c r="AG38" i="12"/>
  <c r="AV38" i="12"/>
  <c r="AW38" i="12" s="1"/>
  <c r="AV39" i="12"/>
  <c r="AW39" i="12" s="1"/>
  <c r="AG39" i="12"/>
  <c r="AV40" i="12"/>
  <c r="AW40" i="12" s="1"/>
  <c r="AG40" i="12"/>
  <c r="AV41" i="12"/>
  <c r="AW41" i="12" s="1"/>
  <c r="AG41" i="12"/>
  <c r="AG42" i="12"/>
  <c r="AV42" i="12"/>
  <c r="AW42" i="12" s="1"/>
  <c r="AV43" i="12"/>
  <c r="AW43" i="12" s="1"/>
  <c r="AG43" i="12"/>
  <c r="AG44" i="12"/>
  <c r="AV44" i="12"/>
  <c r="AW44" i="12" s="1"/>
  <c r="AV45" i="12"/>
  <c r="AW45" i="12" s="1"/>
  <c r="AG45" i="12"/>
  <c r="AV47" i="12"/>
  <c r="AW47" i="12" s="1"/>
  <c r="AG47" i="12"/>
  <c r="AV48" i="12"/>
  <c r="AW48" i="12" s="1"/>
  <c r="AG48" i="12"/>
  <c r="AG49" i="12"/>
  <c r="AV49" i="12"/>
  <c r="AW49" i="12" s="1"/>
  <c r="AV50" i="12"/>
  <c r="AW50" i="12" s="1"/>
  <c r="AG50" i="12"/>
  <c r="AG52" i="12"/>
  <c r="AV52" i="12"/>
  <c r="AW52" i="12" s="1"/>
  <c r="AV53" i="12"/>
  <c r="AW53" i="12" s="1"/>
  <c r="AG53" i="12"/>
  <c r="R54" i="12"/>
  <c r="S54" i="12" s="1"/>
  <c r="AV54" i="12" s="1"/>
  <c r="AW54" i="12" s="1"/>
  <c r="AR55" i="12"/>
  <c r="AS55" i="12" s="1"/>
  <c r="AU55" i="12" s="1"/>
  <c r="AG57" i="12"/>
  <c r="AV57" i="12"/>
  <c r="AW57" i="12" s="1"/>
  <c r="AE58" i="12"/>
  <c r="AF58" i="12" s="1"/>
  <c r="AG61" i="12"/>
  <c r="AV61" i="12"/>
  <c r="AW61" i="12" s="1"/>
  <c r="AG62" i="12"/>
  <c r="AV62" i="12"/>
  <c r="AW62" i="12" s="1"/>
  <c r="AG63" i="12"/>
  <c r="AV63" i="12"/>
  <c r="AW63" i="12" s="1"/>
  <c r="AG64" i="12"/>
  <c r="AV64" i="12"/>
  <c r="AW64" i="12" s="1"/>
  <c r="R67" i="12"/>
  <c r="S67" i="12" s="1"/>
  <c r="AV67" i="12" s="1"/>
  <c r="AW67" i="12" s="1"/>
  <c r="AG68" i="12"/>
  <c r="AV68" i="12"/>
  <c r="AW68" i="12" s="1"/>
  <c r="AG70" i="12"/>
  <c r="AV70" i="12"/>
  <c r="AW70" i="12" s="1"/>
  <c r="AG71" i="12"/>
  <c r="AV71" i="12"/>
  <c r="AW71" i="12" s="1"/>
  <c r="AE74" i="12"/>
  <c r="AF74" i="12" s="1"/>
  <c r="AH74" i="12" s="1"/>
  <c r="AG76" i="12"/>
  <c r="AV76" i="12"/>
  <c r="AW76" i="12" s="1"/>
  <c r="AG77" i="12"/>
  <c r="AV77" i="12"/>
  <c r="AW77" i="12" s="1"/>
  <c r="AG78" i="12"/>
  <c r="AV78" i="12"/>
  <c r="AW78" i="12" s="1"/>
  <c r="AG79" i="12"/>
  <c r="AV79" i="12"/>
  <c r="AW79" i="12" s="1"/>
  <c r="AG80" i="12"/>
  <c r="AV80" i="12"/>
  <c r="AW80" i="12" s="1"/>
  <c r="AG81" i="12"/>
  <c r="AV81" i="12"/>
  <c r="AW81" i="12" s="1"/>
  <c r="AG83" i="12"/>
  <c r="AV83" i="12"/>
  <c r="AW83" i="12" s="1"/>
  <c r="AG84" i="12"/>
  <c r="AV84" i="12"/>
  <c r="AW84" i="12" s="1"/>
  <c r="AG86" i="12"/>
  <c r="AV86" i="12"/>
  <c r="AW86" i="12" s="1"/>
  <c r="AE89" i="12"/>
  <c r="AF89" i="12" s="1"/>
  <c r="AH89" i="12" s="1"/>
  <c r="AE93" i="12"/>
  <c r="AF93" i="12" s="1"/>
  <c r="AH93" i="12" s="1"/>
  <c r="AR96" i="12"/>
  <c r="AS96" i="12" s="1"/>
  <c r="AU96" i="12" s="1"/>
  <c r="R98" i="12"/>
  <c r="S98" i="12" s="1"/>
  <c r="AR100" i="12"/>
  <c r="AS100" i="12" s="1"/>
  <c r="AU100" i="12" s="1"/>
  <c r="R102" i="12"/>
  <c r="S102" i="12" s="1"/>
  <c r="S103" i="12"/>
  <c r="AV103" i="12" s="1"/>
  <c r="AW103" i="12" s="1"/>
  <c r="AE104" i="12"/>
  <c r="AF104" i="12" s="1"/>
  <c r="AV105" i="12"/>
  <c r="AW105" i="12" s="1"/>
  <c r="AG105" i="12"/>
  <c r="AG106" i="12"/>
  <c r="AV106" i="12"/>
  <c r="AW106" i="12" s="1"/>
  <c r="R107" i="12"/>
  <c r="S107" i="12" s="1"/>
  <c r="S108" i="12"/>
  <c r="AV109" i="12"/>
  <c r="AW109" i="12" s="1"/>
  <c r="AG109" i="12"/>
  <c r="R110" i="12"/>
  <c r="S110" i="12" s="1"/>
  <c r="AR110" i="12"/>
  <c r="AS110" i="12" s="1"/>
  <c r="AU110" i="12" s="1"/>
  <c r="AX110" i="12" s="1"/>
  <c r="R112" i="12"/>
  <c r="S112" i="12" s="1"/>
  <c r="AR112" i="12"/>
  <c r="AS112" i="12" s="1"/>
  <c r="AU112" i="12" s="1"/>
  <c r="AR114" i="12"/>
  <c r="AS114" i="12" s="1"/>
  <c r="AU114" i="12" s="1"/>
  <c r="R116" i="12"/>
  <c r="S116" i="12" s="1"/>
  <c r="AR116" i="12"/>
  <c r="AS116" i="12" s="1"/>
  <c r="AU116" i="12" s="1"/>
  <c r="AR118" i="12"/>
  <c r="AS118" i="12"/>
  <c r="AU118" i="12" s="1"/>
  <c r="AR119" i="12"/>
  <c r="AS119" i="12" s="1"/>
  <c r="AU119" i="12" s="1"/>
  <c r="AV120" i="12"/>
  <c r="AW120" i="12" s="1"/>
  <c r="AG120" i="12"/>
  <c r="AG121" i="12"/>
  <c r="AV121" i="12"/>
  <c r="AW121" i="12" s="1"/>
  <c r="AE122" i="12"/>
  <c r="AF122" i="12" s="1"/>
  <c r="AH122" i="12" s="1"/>
  <c r="R124" i="12"/>
  <c r="S124" i="12"/>
  <c r="AR124" i="12"/>
  <c r="AS124" i="12" s="1"/>
  <c r="AU124" i="12" s="1"/>
  <c r="AE125" i="12"/>
  <c r="AF125" i="12" s="1"/>
  <c r="AR128" i="12"/>
  <c r="AS128" i="12"/>
  <c r="AV129" i="12"/>
  <c r="AW129" i="12" s="1"/>
  <c r="AG129" i="12"/>
  <c r="AV130" i="12"/>
  <c r="AW130" i="12" s="1"/>
  <c r="AG130" i="12"/>
  <c r="AG131" i="12"/>
  <c r="AV131" i="12"/>
  <c r="AW131" i="12" s="1"/>
  <c r="AG132" i="12"/>
  <c r="AV132" i="12"/>
  <c r="AW132" i="12" s="1"/>
  <c r="R135" i="12"/>
  <c r="S135" i="12" s="1"/>
  <c r="AR136" i="12"/>
  <c r="AS136" i="12" s="1"/>
  <c r="AU136" i="12" s="1"/>
  <c r="AG137" i="12"/>
  <c r="AV137" i="12"/>
  <c r="AW137" i="12" s="1"/>
  <c r="U138" i="12"/>
  <c r="R139" i="12"/>
  <c r="S139" i="12" s="1"/>
  <c r="AE139" i="12"/>
  <c r="AF139" i="12" s="1"/>
  <c r="AE140" i="12"/>
  <c r="AF140" i="12"/>
  <c r="AR140" i="12"/>
  <c r="AS140" i="12" s="1"/>
  <c r="AU140" i="12" s="1"/>
  <c r="AE142" i="12"/>
  <c r="AF142" i="12" s="1"/>
  <c r="AH142" i="12" s="1"/>
  <c r="AS142" i="12"/>
  <c r="AU142" i="12" s="1"/>
  <c r="AR145" i="12"/>
  <c r="AS145" i="12" s="1"/>
  <c r="AU145" i="12" s="1"/>
  <c r="AR149" i="12"/>
  <c r="AS149" i="12" s="1"/>
  <c r="AU149" i="12" s="1"/>
  <c r="AR151" i="12"/>
  <c r="AS151" i="12"/>
  <c r="AU151" i="12" s="1"/>
  <c r="R152" i="12"/>
  <c r="S152" i="12" s="1"/>
  <c r="AR153" i="12"/>
  <c r="AS153" i="12" s="1"/>
  <c r="AU153" i="12" s="1"/>
  <c r="AG154" i="12"/>
  <c r="AV154" i="12"/>
  <c r="AW154" i="12" s="1"/>
  <c r="R156" i="12"/>
  <c r="S156" i="12" s="1"/>
  <c r="U156" i="12" s="1"/>
  <c r="AE156" i="12"/>
  <c r="AF156" i="12" s="1"/>
  <c r="AH156" i="12" s="1"/>
  <c r="AG158" i="12"/>
  <c r="AV158" i="12"/>
  <c r="AW158" i="12" s="1"/>
  <c r="AE160" i="12"/>
  <c r="AF160" i="12" s="1"/>
  <c r="AH160" i="12" s="1"/>
  <c r="U161" i="12"/>
  <c r="AV163" i="12"/>
  <c r="AW163" i="12" s="1"/>
  <c r="AG163" i="12"/>
  <c r="AG164" i="12"/>
  <c r="AV164" i="12"/>
  <c r="AW164" i="12" s="1"/>
  <c r="AR165" i="12"/>
  <c r="AS165" i="12" s="1"/>
  <c r="AU165" i="12" s="1"/>
  <c r="R166" i="12"/>
  <c r="S166" i="12" s="1"/>
  <c r="U166" i="12" s="1"/>
  <c r="AE166" i="12"/>
  <c r="AF166" i="12" s="1"/>
  <c r="AH166" i="12" s="1"/>
  <c r="AG166" i="12"/>
  <c r="AV168" i="12"/>
  <c r="AW168" i="12" s="1"/>
  <c r="AG168" i="12"/>
  <c r="AE170" i="12"/>
  <c r="AF170" i="12" s="1"/>
  <c r="AH170" i="12" s="1"/>
  <c r="AE172" i="12"/>
  <c r="AF172" i="12"/>
  <c r="AR172" i="12"/>
  <c r="AS172" i="12" s="1"/>
  <c r="AU172" i="12" s="1"/>
  <c r="AE174" i="12"/>
  <c r="AF174" i="12" s="1"/>
  <c r="AH174" i="12" s="1"/>
  <c r="AR176" i="12"/>
  <c r="AS176" i="12" s="1"/>
  <c r="AE178" i="12"/>
  <c r="AF178" i="12" s="1"/>
  <c r="AH178" i="12" s="1"/>
  <c r="AE180" i="12"/>
  <c r="AF180" i="12"/>
  <c r="AR180" i="12"/>
  <c r="AS180" i="12" s="1"/>
  <c r="AU180" i="12" s="1"/>
  <c r="AE182" i="12"/>
  <c r="AF182" i="12" s="1"/>
  <c r="AH182" i="12" s="1"/>
  <c r="AE183" i="12"/>
  <c r="AF183" i="12" s="1"/>
  <c r="AE184" i="12"/>
  <c r="AF184" i="12" s="1"/>
  <c r="AG185" i="12"/>
  <c r="AV185" i="12"/>
  <c r="AW185" i="12" s="1"/>
  <c r="U187" i="12"/>
  <c r="AX187" i="12" s="1"/>
  <c r="AV187" i="12"/>
  <c r="AW187" i="12" s="1"/>
  <c r="AR191" i="12"/>
  <c r="AS191" i="12" s="1"/>
  <c r="AU191" i="12" s="1"/>
  <c r="AV192" i="12"/>
  <c r="AW192" i="12" s="1"/>
  <c r="AG192" i="12"/>
  <c r="AR193" i="12"/>
  <c r="AS193" i="12" s="1"/>
  <c r="R195" i="12"/>
  <c r="S195" i="12" s="1"/>
  <c r="AV196" i="12"/>
  <c r="AW196" i="12" s="1"/>
  <c r="AG196" i="12"/>
  <c r="AG197" i="12"/>
  <c r="AV197" i="12"/>
  <c r="AW197" i="12" s="1"/>
  <c r="R198" i="12"/>
  <c r="AE198" i="12"/>
  <c r="R200" i="12"/>
  <c r="AE200" i="12"/>
  <c r="R201" i="12"/>
  <c r="S201" i="12" s="1"/>
  <c r="AE202" i="12"/>
  <c r="AF202" i="12" s="1"/>
  <c r="R204" i="12"/>
  <c r="S204" i="12" s="1"/>
  <c r="AE204" i="12"/>
  <c r="AF204" i="12" s="1"/>
  <c r="AH204" i="12" s="1"/>
  <c r="AE205" i="12"/>
  <c r="AF205" i="12" s="1"/>
  <c r="AH205" i="12" s="1"/>
  <c r="AE206" i="12"/>
  <c r="AF206" i="12" s="1"/>
  <c r="AH206" i="12" s="1"/>
  <c r="R207" i="12"/>
  <c r="S207" i="12" s="1"/>
  <c r="AE209" i="12"/>
  <c r="AF209" i="12" s="1"/>
  <c r="AH209" i="12" s="1"/>
  <c r="AG213" i="12"/>
  <c r="AV213" i="12"/>
  <c r="AW213" i="12" s="1"/>
  <c r="AG214" i="12"/>
  <c r="AV214" i="12"/>
  <c r="AW214" i="12" s="1"/>
  <c r="AG215" i="12"/>
  <c r="AV215" i="12"/>
  <c r="AW215" i="12" s="1"/>
  <c r="AG216" i="12"/>
  <c r="AV216" i="12"/>
  <c r="AW216" i="12" s="1"/>
  <c r="U218" i="12"/>
  <c r="AF218" i="12"/>
  <c r="U222" i="12"/>
  <c r="AX222" i="12" s="1"/>
  <c r="AV222" i="12"/>
  <c r="AW222" i="12" s="1"/>
  <c r="S223" i="12"/>
  <c r="AV223" i="12" s="1"/>
  <c r="AW223" i="12" s="1"/>
  <c r="U226" i="12"/>
  <c r="AX226" i="12" s="1"/>
  <c r="AV226" i="12"/>
  <c r="AW226" i="12" s="1"/>
  <c r="S227" i="12"/>
  <c r="U228" i="12"/>
  <c r="AV228" i="12"/>
  <c r="AW228" i="12" s="1"/>
  <c r="AR229" i="12"/>
  <c r="AS229" i="12" s="1"/>
  <c r="AU229" i="12" s="1"/>
  <c r="R230" i="12"/>
  <c r="S230" i="12" s="1"/>
  <c r="U230" i="12" s="1"/>
  <c r="AX230" i="12" s="1"/>
  <c r="AE230" i="12"/>
  <c r="AF230" i="12" s="1"/>
  <c r="AH230" i="12" s="1"/>
  <c r="AG231" i="12"/>
  <c r="AV231" i="12"/>
  <c r="AW231" i="12" s="1"/>
  <c r="R232" i="12"/>
  <c r="S232" i="12" s="1"/>
  <c r="AV233" i="12"/>
  <c r="AW233" i="12" s="1"/>
  <c r="AG233" i="12"/>
  <c r="AG234" i="12"/>
  <c r="AV234" i="12"/>
  <c r="AW234" i="12" s="1"/>
  <c r="AV235" i="12"/>
  <c r="AW235" i="12" s="1"/>
  <c r="AG235" i="12"/>
  <c r="AE236" i="12"/>
  <c r="AF236" i="12" s="1"/>
  <c r="AH236" i="12" s="1"/>
  <c r="AR237" i="12"/>
  <c r="AS237" i="12" s="1"/>
  <c r="AE239" i="12"/>
  <c r="AF239" i="12" s="1"/>
  <c r="AH239" i="12" s="1"/>
  <c r="AR239" i="12"/>
  <c r="AS239" i="12" s="1"/>
  <c r="AU239" i="12" s="1"/>
  <c r="AE240" i="12"/>
  <c r="AF240" i="12" s="1"/>
  <c r="AH240" i="12" s="1"/>
  <c r="R242" i="12"/>
  <c r="S242" i="12" s="1"/>
  <c r="U242" i="12" s="1"/>
  <c r="R243" i="12"/>
  <c r="S243" i="12" s="1"/>
  <c r="AR243" i="12"/>
  <c r="AS243" i="12" s="1"/>
  <c r="AU243" i="12" s="1"/>
  <c r="AR244" i="12"/>
  <c r="AS244" i="12" s="1"/>
  <c r="AU244" i="12" s="1"/>
  <c r="R246" i="12"/>
  <c r="S246" i="12" s="1"/>
  <c r="U246" i="12" s="1"/>
  <c r="R247" i="12"/>
  <c r="S247" i="12" s="1"/>
  <c r="U114" i="12"/>
  <c r="U116" i="12"/>
  <c r="U3" i="12"/>
  <c r="U97" i="12"/>
  <c r="U99" i="12"/>
  <c r="U118" i="12"/>
  <c r="U123" i="12"/>
  <c r="U202" i="12"/>
  <c r="U7" i="12"/>
  <c r="U59" i="12"/>
  <c r="U101" i="12"/>
  <c r="U103" i="12"/>
  <c r="AX103" i="12" s="1"/>
  <c r="U108" i="12"/>
  <c r="U54" i="12"/>
  <c r="AX54" i="12" s="1"/>
  <c r="U67" i="12"/>
  <c r="AX67" i="12" s="1"/>
  <c r="U82" i="12"/>
  <c r="U72" i="12"/>
  <c r="AX72" i="12" s="1"/>
  <c r="U65" i="12"/>
  <c r="U111" i="12"/>
  <c r="S18" i="12"/>
  <c r="U18" i="12"/>
  <c r="T18" i="12"/>
  <c r="U66" i="12"/>
  <c r="AX66" i="12" s="1"/>
  <c r="U85" i="12"/>
  <c r="U113" i="12"/>
  <c r="U14" i="12"/>
  <c r="U96" i="12"/>
  <c r="U98" i="12"/>
  <c r="U107" i="12"/>
  <c r="U115" i="12"/>
  <c r="U4" i="12"/>
  <c r="U75" i="12"/>
  <c r="U100" i="12"/>
  <c r="U102" i="12"/>
  <c r="U117" i="12"/>
  <c r="U6" i="12"/>
  <c r="U8" i="12"/>
  <c r="U58" i="12"/>
  <c r="U60" i="12"/>
  <c r="U20" i="12"/>
  <c r="U69" i="12"/>
  <c r="U119" i="12"/>
  <c r="U104" i="12"/>
  <c r="U112" i="12"/>
  <c r="AE3" i="12"/>
  <c r="AF3" i="12" s="1"/>
  <c r="AR6" i="12"/>
  <c r="AS6" i="12" s="1"/>
  <c r="AV6" i="12" s="1"/>
  <c r="AW6" i="12" s="1"/>
  <c r="AE16" i="12"/>
  <c r="AG16" i="12" s="1"/>
  <c r="AR59" i="12"/>
  <c r="AS59" i="12" s="1"/>
  <c r="AV59" i="12" s="1"/>
  <c r="AW59" i="12" s="1"/>
  <c r="AR65" i="12"/>
  <c r="AS65" i="12" s="1"/>
  <c r="AV65" i="12" s="1"/>
  <c r="AW65" i="12" s="1"/>
  <c r="AR85" i="12"/>
  <c r="AS85" i="12" s="1"/>
  <c r="R88" i="12"/>
  <c r="S88" i="12" s="1"/>
  <c r="R92" i="12"/>
  <c r="S92" i="12" s="1"/>
  <c r="AE99" i="12"/>
  <c r="AF99" i="12" s="1"/>
  <c r="AE113" i="12"/>
  <c r="AF113" i="12" s="1"/>
  <c r="AE117" i="12"/>
  <c r="AF117" i="12" s="1"/>
  <c r="AV117" i="12" s="1"/>
  <c r="AW117" i="12" s="1"/>
  <c r="R146" i="12"/>
  <c r="S146" i="12" s="1"/>
  <c r="AV146" i="12" s="1"/>
  <c r="AW146" i="12" s="1"/>
  <c r="R159" i="12"/>
  <c r="S159" i="12" s="1"/>
  <c r="AV159" i="12" s="1"/>
  <c r="AW159" i="12" s="1"/>
  <c r="U175" i="12"/>
  <c r="AX175" i="12" s="1"/>
  <c r="U225" i="12"/>
  <c r="AX225" i="12" s="1"/>
  <c r="R9" i="12"/>
  <c r="S9" i="12" s="1"/>
  <c r="AR15" i="12"/>
  <c r="AT15" i="12" s="1"/>
  <c r="AF16" i="12"/>
  <c r="R51" i="12"/>
  <c r="S51" i="12" s="1"/>
  <c r="AV51" i="12" s="1"/>
  <c r="AW51" i="12" s="1"/>
  <c r="R56" i="12"/>
  <c r="S56" i="12" s="1"/>
  <c r="AV56" i="12" s="1"/>
  <c r="AW56" i="12" s="1"/>
  <c r="AE87" i="12"/>
  <c r="AF87" i="12" s="1"/>
  <c r="AH87" i="12" s="1"/>
  <c r="AE91" i="12"/>
  <c r="AF91" i="12" s="1"/>
  <c r="AH91" i="12" s="1"/>
  <c r="AE95" i="12"/>
  <c r="AF95" i="12" s="1"/>
  <c r="AH95" i="12" s="1"/>
  <c r="AR98" i="12"/>
  <c r="AS98" i="12" s="1"/>
  <c r="AU98" i="12" s="1"/>
  <c r="AR102" i="12"/>
  <c r="AS102" i="12" s="1"/>
  <c r="AU102" i="12" s="1"/>
  <c r="U148" i="12"/>
  <c r="R150" i="12"/>
  <c r="S150" i="12" s="1"/>
  <c r="AV150" i="12" s="1"/>
  <c r="AW150" i="12" s="1"/>
  <c r="U184" i="12"/>
  <c r="U190" i="12"/>
  <c r="AE12" i="12"/>
  <c r="AF12" i="12" s="1"/>
  <c r="AH12" i="12" s="1"/>
  <c r="R19" i="12"/>
  <c r="S19" i="12" s="1"/>
  <c r="AE55" i="12"/>
  <c r="AF55" i="12" s="1"/>
  <c r="AH55" i="12" s="1"/>
  <c r="AF118" i="12"/>
  <c r="AF119" i="12"/>
  <c r="U144" i="12"/>
  <c r="U179" i="12"/>
  <c r="AX179" i="12" s="1"/>
  <c r="AE190" i="12"/>
  <c r="AF190" i="12" s="1"/>
  <c r="AV190" i="12" s="1"/>
  <c r="AW190" i="12" s="1"/>
  <c r="AE232" i="12"/>
  <c r="AF232" i="12" s="1"/>
  <c r="U171" i="12"/>
  <c r="AX171" i="12" s="1"/>
  <c r="AE4" i="12"/>
  <c r="AF4" i="12" s="1"/>
  <c r="AV4" i="12" s="1"/>
  <c r="AW4" i="12" s="1"/>
  <c r="AR7" i="12"/>
  <c r="AS7" i="12" s="1"/>
  <c r="AR17" i="12"/>
  <c r="AT17" i="12" s="1"/>
  <c r="AF18" i="12"/>
  <c r="AR60" i="12"/>
  <c r="AS60" i="12" s="1"/>
  <c r="AV60" i="12" s="1"/>
  <c r="AW60" i="12" s="1"/>
  <c r="AR69" i="12"/>
  <c r="AS69" i="12" s="1"/>
  <c r="AV69" i="12" s="1"/>
  <c r="AW69" i="12" s="1"/>
  <c r="R74" i="12"/>
  <c r="S74" i="12" s="1"/>
  <c r="AV74" i="12" s="1"/>
  <c r="AW74" i="12" s="1"/>
  <c r="R89" i="12"/>
  <c r="S89" i="12" s="1"/>
  <c r="AV89" i="12" s="1"/>
  <c r="AW89" i="12" s="1"/>
  <c r="R93" i="12"/>
  <c r="S93" i="12" s="1"/>
  <c r="AV93" i="12" s="1"/>
  <c r="AW93" i="12" s="1"/>
  <c r="AE96" i="12"/>
  <c r="AF96" i="12" s="1"/>
  <c r="AE100" i="12"/>
  <c r="AF100" i="12" s="1"/>
  <c r="AE114" i="12"/>
  <c r="AF114" i="12" s="1"/>
  <c r="AR156" i="12"/>
  <c r="AS156" i="12" s="1"/>
  <c r="U165" i="12"/>
  <c r="U208" i="12"/>
  <c r="U224" i="12"/>
  <c r="AX224" i="12" s="1"/>
  <c r="AR3" i="12"/>
  <c r="AS3" i="12" s="1"/>
  <c r="AU3" i="12" s="1"/>
  <c r="R10" i="12"/>
  <c r="S10" i="12" s="1"/>
  <c r="R27" i="12"/>
  <c r="S27" i="12" s="1"/>
  <c r="AV27" i="12" s="1"/>
  <c r="AW27" i="12" s="1"/>
  <c r="R46" i="12"/>
  <c r="S46" i="12" s="1"/>
  <c r="AV46" i="12" s="1"/>
  <c r="AW46" i="12" s="1"/>
  <c r="R73" i="12"/>
  <c r="S73" i="12" s="1"/>
  <c r="AV73" i="12" s="1"/>
  <c r="AW73" i="12" s="1"/>
  <c r="AE88" i="12"/>
  <c r="AF88" i="12" s="1"/>
  <c r="AH88" i="12" s="1"/>
  <c r="AE92" i="12"/>
  <c r="AF92" i="12" s="1"/>
  <c r="AH92" i="12" s="1"/>
  <c r="AR99" i="12"/>
  <c r="AS99" i="12" s="1"/>
  <c r="AU99" i="12" s="1"/>
  <c r="AR108" i="12"/>
  <c r="AS108" i="12" s="1"/>
  <c r="AR113" i="12"/>
  <c r="AS113" i="12" s="1"/>
  <c r="AU113" i="12" s="1"/>
  <c r="AE126" i="12"/>
  <c r="AF126" i="12" s="1"/>
  <c r="AH126" i="12" s="1"/>
  <c r="U143" i="12"/>
  <c r="AX143" i="12" s="1"/>
  <c r="AR200" i="12"/>
  <c r="AT200" i="12" s="1"/>
  <c r="U211" i="12"/>
  <c r="U125" i="12"/>
  <c r="U140" i="12"/>
  <c r="U183" i="12"/>
  <c r="AY187" i="12"/>
  <c r="AH193" i="12"/>
  <c r="U195" i="12"/>
  <c r="U219" i="12"/>
  <c r="AX219" i="12" s="1"/>
  <c r="AH228" i="12"/>
  <c r="AR122" i="12"/>
  <c r="AS122" i="12" s="1"/>
  <c r="AU122" i="12" s="1"/>
  <c r="U157" i="12"/>
  <c r="U221" i="12"/>
  <c r="AX221" i="12" s="1"/>
  <c r="U237" i="12"/>
  <c r="R244" i="12"/>
  <c r="S244" i="12" s="1"/>
  <c r="AE14" i="12"/>
  <c r="AF14" i="12" s="1"/>
  <c r="AR18" i="12"/>
  <c r="AT18" i="12" s="1"/>
  <c r="AE75" i="12"/>
  <c r="AF75" i="12" s="1"/>
  <c r="AV75" i="12" s="1"/>
  <c r="AW75" i="12" s="1"/>
  <c r="AR82" i="12"/>
  <c r="AS82" i="12" s="1"/>
  <c r="AV82" i="12" s="1"/>
  <c r="AW82" i="12" s="1"/>
  <c r="R90" i="12"/>
  <c r="S90" i="12" s="1"/>
  <c r="R94" i="12"/>
  <c r="S94" i="12" s="1"/>
  <c r="AE97" i="12"/>
  <c r="AF97" i="12" s="1"/>
  <c r="AE101" i="12"/>
  <c r="AF101" i="12" s="1"/>
  <c r="AE111" i="12"/>
  <c r="AF111" i="12" s="1"/>
  <c r="AE115" i="12"/>
  <c r="AF115" i="12" s="1"/>
  <c r="AS126" i="12"/>
  <c r="AU126" i="12" s="1"/>
  <c r="AF136" i="12"/>
  <c r="AH136" i="12" s="1"/>
  <c r="U172" i="12"/>
  <c r="U223" i="12"/>
  <c r="AX223" i="12" s="1"/>
  <c r="U176" i="12"/>
  <c r="U191" i="12"/>
  <c r="AH227" i="12"/>
  <c r="R17" i="12"/>
  <c r="U17" i="12" s="1"/>
  <c r="U128" i="12"/>
  <c r="R142" i="12"/>
  <c r="S142" i="12" s="1"/>
  <c r="AV142" i="12" s="1"/>
  <c r="AW142" i="12" s="1"/>
  <c r="AE145" i="12"/>
  <c r="AF145" i="12" s="1"/>
  <c r="AH145" i="12" s="1"/>
  <c r="U188" i="12"/>
  <c r="U203" i="12"/>
  <c r="U229" i="12"/>
  <c r="R210" i="12"/>
  <c r="S210" i="12" s="1"/>
  <c r="AR5" i="12"/>
  <c r="AS5" i="12" s="1"/>
  <c r="AE15" i="12"/>
  <c r="AF15" i="12" s="1"/>
  <c r="S16" i="12"/>
  <c r="AR19" i="12"/>
  <c r="AS19" i="12" s="1"/>
  <c r="AU19" i="12" s="1"/>
  <c r="AR58" i="12"/>
  <c r="AS58" i="12" s="1"/>
  <c r="R87" i="12"/>
  <c r="S87" i="12" s="1"/>
  <c r="R91" i="12"/>
  <c r="S91" i="12" s="1"/>
  <c r="R95" i="12"/>
  <c r="S95" i="12" s="1"/>
  <c r="AE98" i="12"/>
  <c r="AF98" i="12" s="1"/>
  <c r="AE102" i="12"/>
  <c r="AF102" i="12" s="1"/>
  <c r="AE107" i="12"/>
  <c r="AF107" i="12" s="1"/>
  <c r="AE112" i="12"/>
  <c r="AF112" i="12" s="1"/>
  <c r="AE116" i="12"/>
  <c r="AF116" i="12" s="1"/>
  <c r="R134" i="12"/>
  <c r="S134" i="12" s="1"/>
  <c r="AV134" i="12" s="1"/>
  <c r="AW134" i="12" s="1"/>
  <c r="U180" i="12"/>
  <c r="AR195" i="12"/>
  <c r="AS195" i="12" s="1"/>
  <c r="U220" i="12"/>
  <c r="AX220" i="12" s="1"/>
  <c r="U241" i="12"/>
  <c r="AX241" i="12" s="1"/>
  <c r="R12" i="12"/>
  <c r="S12" i="12" s="1"/>
  <c r="AR14" i="12"/>
  <c r="AS14" i="12" s="1"/>
  <c r="AU14" i="12" s="1"/>
  <c r="T16" i="12"/>
  <c r="R55" i="12"/>
  <c r="S55" i="12" s="1"/>
  <c r="AE90" i="12"/>
  <c r="AF90" i="12" s="1"/>
  <c r="AH90" i="12" s="1"/>
  <c r="AE94" i="12"/>
  <c r="AF94" i="12" s="1"/>
  <c r="AH94" i="12" s="1"/>
  <c r="AR97" i="12"/>
  <c r="AS97" i="12" s="1"/>
  <c r="AU97" i="12" s="1"/>
  <c r="AR101" i="12"/>
  <c r="AS101" i="12" s="1"/>
  <c r="AU101" i="12" s="1"/>
  <c r="AR111" i="12"/>
  <c r="AS111" i="12" s="1"/>
  <c r="AU111" i="12" s="1"/>
  <c r="AR115" i="12"/>
  <c r="AS115" i="12" s="1"/>
  <c r="AU115" i="12" s="1"/>
  <c r="R127" i="12"/>
  <c r="S127" i="12" s="1"/>
  <c r="R133" i="12"/>
  <c r="S133" i="12" s="1"/>
  <c r="AV133" i="12" s="1"/>
  <c r="AW133" i="12" s="1"/>
  <c r="U186" i="12"/>
  <c r="AF123" i="12"/>
  <c r="AR125" i="12"/>
  <c r="AS125" i="12" s="1"/>
  <c r="U194" i="12"/>
  <c r="U217" i="12"/>
  <c r="AX217" i="12" s="1"/>
  <c r="AE149" i="12"/>
  <c r="AF149" i="12" s="1"/>
  <c r="AH149" i="12" s="1"/>
  <c r="AE153" i="12"/>
  <c r="AF153" i="12" s="1"/>
  <c r="AH153" i="12" s="1"/>
  <c r="AR162" i="12"/>
  <c r="AS162" i="12" s="1"/>
  <c r="AU162" i="12" s="1"/>
  <c r="AR167" i="12"/>
  <c r="AS167" i="12" s="1"/>
  <c r="AU167" i="12" s="1"/>
  <c r="R170" i="12"/>
  <c r="S170" i="12" s="1"/>
  <c r="R174" i="12"/>
  <c r="S174" i="12" s="1"/>
  <c r="R178" i="12"/>
  <c r="S178" i="12" s="1"/>
  <c r="R182" i="12"/>
  <c r="S182" i="12" s="1"/>
  <c r="AV182" i="12" s="1"/>
  <c r="AW182" i="12" s="1"/>
  <c r="AR189" i="12"/>
  <c r="AS189" i="12" s="1"/>
  <c r="AU189" i="12" s="1"/>
  <c r="R209" i="12"/>
  <c r="S209" i="12" s="1"/>
  <c r="AV209" i="12" s="1"/>
  <c r="AW209" i="12" s="1"/>
  <c r="R239" i="12"/>
  <c r="S239" i="12" s="1"/>
  <c r="AE243" i="12"/>
  <c r="AF243" i="12" s="1"/>
  <c r="AR144" i="12"/>
  <c r="AS144" i="12" s="1"/>
  <c r="AU144" i="12" s="1"/>
  <c r="AR148" i="12"/>
  <c r="AS148" i="12" s="1"/>
  <c r="AU148" i="12" s="1"/>
  <c r="AR152" i="12"/>
  <c r="AS152" i="12" s="1"/>
  <c r="AU152" i="12" s="1"/>
  <c r="R155" i="12"/>
  <c r="S155" i="12" s="1"/>
  <c r="AE169" i="12"/>
  <c r="AF169" i="12" s="1"/>
  <c r="AH169" i="12" s="1"/>
  <c r="AE173" i="12"/>
  <c r="AF173" i="12" s="1"/>
  <c r="AH173" i="12" s="1"/>
  <c r="AE177" i="12"/>
  <c r="AF177" i="12" s="1"/>
  <c r="AH177" i="12" s="1"/>
  <c r="R199" i="12"/>
  <c r="R147" i="12"/>
  <c r="S147" i="12" s="1"/>
  <c r="AV147" i="12" s="1"/>
  <c r="AW147" i="12" s="1"/>
  <c r="R151" i="12"/>
  <c r="S151" i="12" s="1"/>
  <c r="AV151" i="12" s="1"/>
  <c r="AW151" i="12" s="1"/>
  <c r="AR157" i="12"/>
  <c r="AS157" i="12" s="1"/>
  <c r="AV157" i="12" s="1"/>
  <c r="AW157" i="12" s="1"/>
  <c r="R160" i="12"/>
  <c r="S160" i="12" s="1"/>
  <c r="AE165" i="12"/>
  <c r="AF165" i="12" s="1"/>
  <c r="AE186" i="12"/>
  <c r="AF186" i="12" s="1"/>
  <c r="AV186" i="12" s="1"/>
  <c r="AW186" i="12" s="1"/>
  <c r="AE191" i="12"/>
  <c r="AF191" i="12" s="1"/>
  <c r="AF198" i="12"/>
  <c r="AR201" i="12"/>
  <c r="AS201" i="12" s="1"/>
  <c r="R206" i="12"/>
  <c r="S206" i="12" s="1"/>
  <c r="AV206" i="12" s="1"/>
  <c r="AW206" i="12" s="1"/>
  <c r="AE211" i="12"/>
  <c r="AF211" i="12" s="1"/>
  <c r="AV211" i="12" s="1"/>
  <c r="AW211" i="12" s="1"/>
  <c r="R245" i="12"/>
  <c r="S245" i="12" s="1"/>
  <c r="R205" i="12"/>
  <c r="S205" i="12" s="1"/>
  <c r="AV205" i="12" s="1"/>
  <c r="AW205" i="12" s="1"/>
  <c r="AE210" i="12"/>
  <c r="AF210" i="12" s="1"/>
  <c r="AH210" i="12" s="1"/>
  <c r="AR232" i="12"/>
  <c r="AS232" i="12" s="1"/>
  <c r="AU232" i="12" s="1"/>
  <c r="R236" i="12"/>
  <c r="S236" i="12" s="1"/>
  <c r="AV236" i="12" s="1"/>
  <c r="AW236" i="12" s="1"/>
  <c r="R240" i="12"/>
  <c r="S240" i="12" s="1"/>
  <c r="AE244" i="12"/>
  <c r="AF244" i="12" s="1"/>
  <c r="AH244" i="12" s="1"/>
  <c r="AE155" i="12"/>
  <c r="AF155" i="12" s="1"/>
  <c r="AH155" i="12" s="1"/>
  <c r="R162" i="12"/>
  <c r="S162" i="12" s="1"/>
  <c r="R167" i="12"/>
  <c r="S167" i="12" s="1"/>
  <c r="AR169" i="12"/>
  <c r="AS169" i="12" s="1"/>
  <c r="AU169" i="12" s="1"/>
  <c r="AR173" i="12"/>
  <c r="AS173" i="12" s="1"/>
  <c r="AU173" i="12" s="1"/>
  <c r="AR177" i="12"/>
  <c r="AS177" i="12" s="1"/>
  <c r="AU177" i="12" s="1"/>
  <c r="AR181" i="12"/>
  <c r="AS181" i="12" s="1"/>
  <c r="AU181" i="12" s="1"/>
  <c r="R189" i="12"/>
  <c r="S189" i="12" s="1"/>
  <c r="AE194" i="12"/>
  <c r="AF194" i="12" s="1"/>
  <c r="AE199" i="12"/>
  <c r="AG199" i="12" s="1"/>
  <c r="S200" i="12"/>
  <c r="AE203" i="12"/>
  <c r="AF203" i="12" s="1"/>
  <c r="AE208" i="12"/>
  <c r="AF208" i="12" s="1"/>
  <c r="AV208" i="12" s="1"/>
  <c r="AW208" i="12" s="1"/>
  <c r="AE229" i="12"/>
  <c r="AF229" i="12" s="1"/>
  <c r="AR238" i="12"/>
  <c r="AS238" i="12" s="1"/>
  <c r="AU238" i="12" s="1"/>
  <c r="AR198" i="12"/>
  <c r="AS198" i="12" s="1"/>
  <c r="AR202" i="12"/>
  <c r="AS202" i="12" s="1"/>
  <c r="AE245" i="12"/>
  <c r="AF245" i="12" s="1"/>
  <c r="AH245" i="12" s="1"/>
  <c r="AE124" i="12"/>
  <c r="AF124" i="12" s="1"/>
  <c r="AR127" i="12"/>
  <c r="AS127" i="12" s="1"/>
  <c r="AU127" i="12" s="1"/>
  <c r="AR123" i="12"/>
  <c r="AS123" i="12" s="1"/>
  <c r="AU123" i="12" s="1"/>
  <c r="R126" i="12"/>
  <c r="S126" i="12" s="1"/>
  <c r="R136" i="12"/>
  <c r="S136" i="12" s="1"/>
  <c r="AR138" i="12"/>
  <c r="AS138" i="12" s="1"/>
  <c r="R145" i="12"/>
  <c r="S145" i="12" s="1"/>
  <c r="R149" i="12"/>
  <c r="S149" i="12" s="1"/>
  <c r="R153" i="12"/>
  <c r="S153" i="12" s="1"/>
  <c r="AR155" i="12"/>
  <c r="AS155" i="12" s="1"/>
  <c r="AU155" i="12" s="1"/>
  <c r="AE162" i="12"/>
  <c r="AF162" i="12" s="1"/>
  <c r="AH162" i="12" s="1"/>
  <c r="AE167" i="12"/>
  <c r="AF167" i="12" s="1"/>
  <c r="AH167" i="12" s="1"/>
  <c r="AE189" i="12"/>
  <c r="AF189" i="12" s="1"/>
  <c r="AH189" i="12" s="1"/>
  <c r="AR194" i="12"/>
  <c r="AS194" i="12" s="1"/>
  <c r="AU194" i="12" s="1"/>
  <c r="AR199" i="12"/>
  <c r="AF200" i="12"/>
  <c r="AR203" i="12"/>
  <c r="AS203" i="12" s="1"/>
  <c r="AU203" i="12" s="1"/>
  <c r="R122" i="12"/>
  <c r="S122" i="12" s="1"/>
  <c r="AV122" i="12" s="1"/>
  <c r="AW122" i="12" s="1"/>
  <c r="AE135" i="12"/>
  <c r="AF135" i="12" s="1"/>
  <c r="R141" i="12"/>
  <c r="S141" i="12" s="1"/>
  <c r="AV141" i="12" s="1"/>
  <c r="AW141" i="12" s="1"/>
  <c r="AE144" i="12"/>
  <c r="AF144" i="12" s="1"/>
  <c r="AV144" i="12" s="1"/>
  <c r="AW144" i="12" s="1"/>
  <c r="AE148" i="12"/>
  <c r="AF148" i="12" s="1"/>
  <c r="AV148" i="12" s="1"/>
  <c r="AW148" i="12" s="1"/>
  <c r="AE152" i="12"/>
  <c r="AF152" i="12" s="1"/>
  <c r="AE161" i="12"/>
  <c r="AF161" i="12" s="1"/>
  <c r="AV161" i="12" s="1"/>
  <c r="AW161" i="12" s="1"/>
  <c r="AR166" i="12"/>
  <c r="AS166" i="12" s="1"/>
  <c r="R169" i="12"/>
  <c r="S169" i="12" s="1"/>
  <c r="AV169" i="12" s="1"/>
  <c r="AW169" i="12" s="1"/>
  <c r="R173" i="12"/>
  <c r="S173" i="12" s="1"/>
  <c r="AV173" i="12" s="1"/>
  <c r="AW173" i="12" s="1"/>
  <c r="R177" i="12"/>
  <c r="S177" i="12" s="1"/>
  <c r="AV177" i="12" s="1"/>
  <c r="AW177" i="12" s="1"/>
  <c r="R181" i="12"/>
  <c r="S181" i="12" s="1"/>
  <c r="AV181" i="12" s="1"/>
  <c r="AW181" i="12" s="1"/>
  <c r="AR188" i="12"/>
  <c r="AS188" i="12" s="1"/>
  <c r="AV188" i="12" s="1"/>
  <c r="AW188" i="12" s="1"/>
  <c r="R238" i="12"/>
  <c r="S238" i="12" s="1"/>
  <c r="AV238" i="12" s="1"/>
  <c r="AW238" i="12" s="1"/>
  <c r="AE242" i="12"/>
  <c r="AF242" i="12" s="1"/>
  <c r="AH242" i="12" s="1"/>
  <c r="AE246" i="12"/>
  <c r="AF246" i="12" s="1"/>
  <c r="AH246" i="12" s="1"/>
  <c r="X10" i="4" l="1"/>
  <c r="V10" i="4"/>
  <c r="W10" i="4" s="1"/>
  <c r="Y10" i="4" s="1"/>
  <c r="Z10" i="4"/>
  <c r="AA10" i="4" s="1"/>
  <c r="M10" i="4"/>
  <c r="AB10" i="4" s="1"/>
  <c r="CO10" i="14"/>
  <c r="P10" i="14"/>
  <c r="Q10" i="14" s="1"/>
  <c r="S10" i="14" s="1"/>
  <c r="R10" i="14"/>
  <c r="J10" i="14"/>
  <c r="K10" i="14" s="1"/>
  <c r="CM10" i="14"/>
  <c r="L10" i="14"/>
  <c r="R21" i="4"/>
  <c r="P21" i="4"/>
  <c r="Q21" i="4" s="1"/>
  <c r="S21" i="4" s="1"/>
  <c r="L18" i="4"/>
  <c r="J18" i="4"/>
  <c r="K18" i="4" s="1"/>
  <c r="M18" i="4" s="1"/>
  <c r="L19" i="4"/>
  <c r="J19" i="4"/>
  <c r="K19" i="4" s="1"/>
  <c r="M19" i="4" s="1"/>
  <c r="Q85" i="4"/>
  <c r="S85" i="4" s="1"/>
  <c r="R85" i="4"/>
  <c r="K85" i="4"/>
  <c r="L85" i="4"/>
  <c r="W84" i="4"/>
  <c r="Y84" i="4" s="1"/>
  <c r="X84" i="4"/>
  <c r="J84" i="4"/>
  <c r="K84" i="4" s="1"/>
  <c r="L84" i="4"/>
  <c r="R22" i="4"/>
  <c r="P22" i="4"/>
  <c r="Q22" i="4" s="1"/>
  <c r="S22" i="4" s="1"/>
  <c r="Q71" i="4"/>
  <c r="S71" i="4" s="1"/>
  <c r="R71" i="4"/>
  <c r="M71" i="4"/>
  <c r="AB71" i="4" s="1"/>
  <c r="Z71" i="4"/>
  <c r="AA71" i="4" s="1"/>
  <c r="AV9" i="12"/>
  <c r="AW9" i="12" s="1"/>
  <c r="AV10" i="12"/>
  <c r="AW10" i="12" s="1"/>
  <c r="AV16" i="12"/>
  <c r="AW16" i="12" s="1"/>
  <c r="AV87" i="12"/>
  <c r="AW87" i="12" s="1"/>
  <c r="AV91" i="12"/>
  <c r="AW91" i="12" s="1"/>
  <c r="AV95" i="12"/>
  <c r="AW95" i="12" s="1"/>
  <c r="AV12" i="12"/>
  <c r="AW12" i="12" s="1"/>
  <c r="AV55" i="12"/>
  <c r="AW55" i="12" s="1"/>
  <c r="AV170" i="12"/>
  <c r="AW170" i="12" s="1"/>
  <c r="AV174" i="12"/>
  <c r="AW174" i="12" s="1"/>
  <c r="AV178" i="12"/>
  <c r="AW178" i="12" s="1"/>
  <c r="AV239" i="12"/>
  <c r="AW239" i="12" s="1"/>
  <c r="AV160" i="12"/>
  <c r="AW160" i="12" s="1"/>
  <c r="AV165" i="12"/>
  <c r="AW165" i="12" s="1"/>
  <c r="AV240" i="12"/>
  <c r="AW240" i="12" s="1"/>
  <c r="AV229" i="12"/>
  <c r="AW229" i="12" s="1"/>
  <c r="AV126" i="12"/>
  <c r="AW126" i="12" s="1"/>
  <c r="AV136" i="12"/>
  <c r="AW136" i="12" s="1"/>
  <c r="AV145" i="12"/>
  <c r="AW145" i="12" s="1"/>
  <c r="AV149" i="12"/>
  <c r="AW149" i="12" s="1"/>
  <c r="AV153" i="12"/>
  <c r="AW153" i="12" s="1"/>
  <c r="AV207" i="12"/>
  <c r="AW207" i="12" s="1"/>
  <c r="U207" i="12"/>
  <c r="AX207" i="12" s="1"/>
  <c r="AV247" i="12"/>
  <c r="AW247" i="12" s="1"/>
  <c r="U247" i="12"/>
  <c r="AX247" i="12" s="1"/>
  <c r="AU138" i="12"/>
  <c r="AV138" i="12"/>
  <c r="AW138" i="12" s="1"/>
  <c r="AV203" i="12"/>
  <c r="AW203" i="12" s="1"/>
  <c r="AV194" i="12"/>
  <c r="AW194" i="12" s="1"/>
  <c r="AV189" i="12"/>
  <c r="AW189" i="12" s="1"/>
  <c r="AV167" i="12"/>
  <c r="AW167" i="12" s="1"/>
  <c r="AV162" i="12"/>
  <c r="AW162" i="12" s="1"/>
  <c r="AV139" i="12"/>
  <c r="AW139" i="12" s="1"/>
  <c r="AV245" i="12"/>
  <c r="AW245" i="12" s="1"/>
  <c r="AH191" i="12"/>
  <c r="AV191" i="12"/>
  <c r="AW191" i="12" s="1"/>
  <c r="AV155" i="12"/>
  <c r="AW155" i="12" s="1"/>
  <c r="AH123" i="12"/>
  <c r="AX123" i="12" s="1"/>
  <c r="AV123" i="12"/>
  <c r="AW123" i="12" s="1"/>
  <c r="AV127" i="12"/>
  <c r="AW127" i="12" s="1"/>
  <c r="AV210" i="12"/>
  <c r="AW210" i="12" s="1"/>
  <c r="AX246" i="12"/>
  <c r="AX191" i="12"/>
  <c r="AY191" i="12" s="1"/>
  <c r="AV115" i="12"/>
  <c r="AW115" i="12" s="1"/>
  <c r="AV111" i="12"/>
  <c r="AW111" i="12" s="1"/>
  <c r="AV101" i="12"/>
  <c r="AW101" i="12" s="1"/>
  <c r="AH97" i="12"/>
  <c r="AX97" i="12" s="1"/>
  <c r="AV97" i="12"/>
  <c r="AW97" i="12" s="1"/>
  <c r="AV94" i="12"/>
  <c r="AW94" i="12" s="1"/>
  <c r="AV90" i="12"/>
  <c r="AW90" i="12" s="1"/>
  <c r="AV14" i="12"/>
  <c r="AW14" i="12" s="1"/>
  <c r="AV244" i="12"/>
  <c r="AW244" i="12" s="1"/>
  <c r="AX242" i="12"/>
  <c r="AY242" i="12" s="1"/>
  <c r="AH114" i="12"/>
  <c r="AX114" i="12" s="1"/>
  <c r="AV114" i="12"/>
  <c r="AW114" i="12" s="1"/>
  <c r="AH100" i="12"/>
  <c r="AV100" i="12"/>
  <c r="AW100" i="12" s="1"/>
  <c r="AH96" i="12"/>
  <c r="AV96" i="12"/>
  <c r="AW96" i="12" s="1"/>
  <c r="AH119" i="12"/>
  <c r="AV119" i="12"/>
  <c r="AW119" i="12" s="1"/>
  <c r="AH118" i="12"/>
  <c r="AV118" i="12"/>
  <c r="AW118" i="12" s="1"/>
  <c r="AV19" i="12"/>
  <c r="AW19" i="12" s="1"/>
  <c r="AV113" i="12"/>
  <c r="AW113" i="12" s="1"/>
  <c r="AV99" i="12"/>
  <c r="AW99" i="12" s="1"/>
  <c r="AV92" i="12"/>
  <c r="AW92" i="12" s="1"/>
  <c r="AV88" i="12"/>
  <c r="AW88" i="12" s="1"/>
  <c r="AU85" i="12"/>
  <c r="AV85" i="12"/>
  <c r="AW85" i="12" s="1"/>
  <c r="AV3" i="12"/>
  <c r="AW3" i="12" s="1"/>
  <c r="AX119" i="12"/>
  <c r="AX100" i="12"/>
  <c r="AX96" i="12"/>
  <c r="AX85" i="12"/>
  <c r="AX118" i="12"/>
  <c r="AV246" i="12"/>
  <c r="AW246" i="12" s="1"/>
  <c r="AV243" i="12"/>
  <c r="AW243" i="12" s="1"/>
  <c r="U243" i="12"/>
  <c r="AV242" i="12"/>
  <c r="AW242" i="12" s="1"/>
  <c r="AU237" i="12"/>
  <c r="AX237" i="12" s="1"/>
  <c r="AV237" i="12"/>
  <c r="AW237" i="12" s="1"/>
  <c r="U232" i="12"/>
  <c r="AV232" i="12"/>
  <c r="AW232" i="12" s="1"/>
  <c r="AV230" i="12"/>
  <c r="AW230" i="12" s="1"/>
  <c r="AX228" i="12"/>
  <c r="U227" i="12"/>
  <c r="AX227" i="12" s="1"/>
  <c r="AV227" i="12"/>
  <c r="AW227" i="12" s="1"/>
  <c r="AH218" i="12"/>
  <c r="AV218" i="12"/>
  <c r="AW218" i="12" s="1"/>
  <c r="AX218" i="12"/>
  <c r="AY218" i="12" s="1"/>
  <c r="U204" i="12"/>
  <c r="AX204" i="12" s="1"/>
  <c r="AV204" i="12"/>
  <c r="AW204" i="12" s="1"/>
  <c r="AH202" i="12"/>
  <c r="AV202" i="12"/>
  <c r="AW202" i="12" s="1"/>
  <c r="U201" i="12"/>
  <c r="AV201" i="12"/>
  <c r="AW201" i="12" s="1"/>
  <c r="AG200" i="12"/>
  <c r="AH200" i="12"/>
  <c r="T200" i="12"/>
  <c r="U200" i="12"/>
  <c r="AG198" i="12"/>
  <c r="AH198" i="12"/>
  <c r="T198" i="12"/>
  <c r="U198" i="12"/>
  <c r="S198" i="12"/>
  <c r="AV198" i="12" s="1"/>
  <c r="AW198" i="12" s="1"/>
  <c r="AV195" i="12"/>
  <c r="AW195" i="12" s="1"/>
  <c r="AU193" i="12"/>
  <c r="AV193" i="12"/>
  <c r="AW193" i="12" s="1"/>
  <c r="AH184" i="12"/>
  <c r="AX184" i="12" s="1"/>
  <c r="AV184" i="12"/>
  <c r="AW184" i="12" s="1"/>
  <c r="AH183" i="12"/>
  <c r="AX183" i="12" s="1"/>
  <c r="AY183" i="12" s="1"/>
  <c r="AV183" i="12"/>
  <c r="AW183" i="12" s="1"/>
  <c r="AH180" i="12"/>
  <c r="AX180" i="12" s="1"/>
  <c r="AV180" i="12"/>
  <c r="AW180" i="12" s="1"/>
  <c r="AU176" i="12"/>
  <c r="AX176" i="12" s="1"/>
  <c r="AV176" i="12"/>
  <c r="AW176" i="12" s="1"/>
  <c r="AH172" i="12"/>
  <c r="AX172" i="12" s="1"/>
  <c r="AY172" i="12" s="1"/>
  <c r="AV172" i="12"/>
  <c r="AW172" i="12" s="1"/>
  <c r="AV166" i="12"/>
  <c r="AW166" i="12" s="1"/>
  <c r="AV156" i="12"/>
  <c r="AW156" i="12" s="1"/>
  <c r="AV152" i="12"/>
  <c r="AW152" i="12" s="1"/>
  <c r="U152" i="12"/>
  <c r="AH140" i="12"/>
  <c r="AX140" i="12" s="1"/>
  <c r="AV140" i="12"/>
  <c r="AW140" i="12" s="1"/>
  <c r="AG139" i="12"/>
  <c r="AH139" i="12"/>
  <c r="T139" i="12"/>
  <c r="U139" i="12"/>
  <c r="AX139" i="12" s="1"/>
  <c r="AY139" i="12" s="1"/>
  <c r="AX138" i="12"/>
  <c r="AY138" i="12" s="1"/>
  <c r="AV135" i="12"/>
  <c r="AW135" i="12" s="1"/>
  <c r="U135" i="12"/>
  <c r="AU128" i="12"/>
  <c r="AX128" i="12" s="1"/>
  <c r="AV128" i="12"/>
  <c r="AW128" i="12" s="1"/>
  <c r="AH125" i="12"/>
  <c r="AV125" i="12"/>
  <c r="AW125" i="12" s="1"/>
  <c r="U124" i="12"/>
  <c r="AV124" i="12"/>
  <c r="AW124" i="12" s="1"/>
  <c r="AV116" i="12"/>
  <c r="AW116" i="12" s="1"/>
  <c r="AV112" i="12"/>
  <c r="AW112" i="12" s="1"/>
  <c r="AV110" i="12"/>
  <c r="AW110" i="12" s="1"/>
  <c r="AY110" i="12" s="1"/>
  <c r="AV108" i="12"/>
  <c r="AW108" i="12" s="1"/>
  <c r="AV107" i="12"/>
  <c r="AW107" i="12" s="1"/>
  <c r="AH104" i="12"/>
  <c r="AX104" i="12" s="1"/>
  <c r="AY104" i="12" s="1"/>
  <c r="AV104" i="12"/>
  <c r="AW104" i="12" s="1"/>
  <c r="AV102" i="12"/>
  <c r="AW102" i="12" s="1"/>
  <c r="AV98" i="12"/>
  <c r="AW98" i="12" s="1"/>
  <c r="AH58" i="12"/>
  <c r="AV58" i="12"/>
  <c r="AW58" i="12" s="1"/>
  <c r="AU20" i="12"/>
  <c r="AX20" i="12" s="1"/>
  <c r="AV20" i="12"/>
  <c r="AW20" i="12" s="1"/>
  <c r="AG18" i="12"/>
  <c r="AH18" i="12"/>
  <c r="T15" i="12"/>
  <c r="U15" i="12"/>
  <c r="AV11" i="12"/>
  <c r="AW11" i="12" s="1"/>
  <c r="AU8" i="12"/>
  <c r="AX8" i="12" s="1"/>
  <c r="AY8" i="12" s="1"/>
  <c r="AV8" i="12"/>
  <c r="AW8" i="12" s="1"/>
  <c r="AH7" i="12"/>
  <c r="AV7" i="12"/>
  <c r="AW7" i="12" s="1"/>
  <c r="AV5" i="12"/>
  <c r="AW5" i="12" s="1"/>
  <c r="AH144" i="12"/>
  <c r="AX144" i="12" s="1"/>
  <c r="U136" i="12"/>
  <c r="AX136" i="12" s="1"/>
  <c r="AH124" i="12"/>
  <c r="AU201" i="12"/>
  <c r="U127" i="12"/>
  <c r="AX127" i="12" s="1"/>
  <c r="AH101" i="12"/>
  <c r="AX101" i="12" s="1"/>
  <c r="AU60" i="12"/>
  <c r="AX60" i="12" s="1"/>
  <c r="AU65" i="12"/>
  <c r="AX65" i="12" s="1"/>
  <c r="U238" i="12"/>
  <c r="AX238" i="12" s="1"/>
  <c r="AH243" i="12"/>
  <c r="U19" i="12"/>
  <c r="AX19" i="12" s="1"/>
  <c r="U9" i="12"/>
  <c r="AX9" i="12" s="1"/>
  <c r="AU59" i="12"/>
  <c r="AX59" i="12" s="1"/>
  <c r="AU58" i="12"/>
  <c r="AU188" i="12"/>
  <c r="AX188" i="12" s="1"/>
  <c r="U239" i="12"/>
  <c r="AX239" i="12" s="1"/>
  <c r="U134" i="12"/>
  <c r="AX134" i="12" s="1"/>
  <c r="U94" i="12"/>
  <c r="AX94" i="12" s="1"/>
  <c r="AU7" i="12"/>
  <c r="AU6" i="12"/>
  <c r="AX6" i="12" s="1"/>
  <c r="AY6" i="12" s="1"/>
  <c r="AU125" i="12"/>
  <c r="U173" i="12"/>
  <c r="AX173" i="12" s="1"/>
  <c r="AU202" i="12"/>
  <c r="U160" i="12"/>
  <c r="AX160" i="12" s="1"/>
  <c r="U182" i="12"/>
  <c r="AX182" i="12" s="1"/>
  <c r="AH107" i="12"/>
  <c r="AX107" i="12" s="1"/>
  <c r="AH75" i="12"/>
  <c r="AX75" i="12" s="1"/>
  <c r="AH3" i="12"/>
  <c r="AX3" i="12" s="1"/>
  <c r="U169" i="12"/>
  <c r="AX169" i="12" s="1"/>
  <c r="AU157" i="12"/>
  <c r="AX157" i="12" s="1"/>
  <c r="U178" i="12"/>
  <c r="AX178" i="12" s="1"/>
  <c r="AH102" i="12"/>
  <c r="AX102" i="12" s="1"/>
  <c r="U150" i="12"/>
  <c r="AX150" i="12" s="1"/>
  <c r="U177" i="12"/>
  <c r="AX177" i="12" s="1"/>
  <c r="AU166" i="12"/>
  <c r="AX166" i="12" s="1"/>
  <c r="U153" i="12"/>
  <c r="AX153" i="12" s="1"/>
  <c r="U151" i="12"/>
  <c r="AX151" i="12" s="1"/>
  <c r="U174" i="12"/>
  <c r="AX174" i="12" s="1"/>
  <c r="U55" i="12"/>
  <c r="AX55" i="12" s="1"/>
  <c r="AH98" i="12"/>
  <c r="AX98" i="12" s="1"/>
  <c r="AH232" i="12"/>
  <c r="U181" i="12"/>
  <c r="AX181" i="12" s="1"/>
  <c r="U167" i="12"/>
  <c r="AX167" i="12" s="1"/>
  <c r="AH186" i="12"/>
  <c r="AX186" i="12" s="1"/>
  <c r="AY186" i="12" s="1"/>
  <c r="AH116" i="12"/>
  <c r="AX116" i="12" s="1"/>
  <c r="U90" i="12"/>
  <c r="AX90" i="12" s="1"/>
  <c r="U162" i="12"/>
  <c r="AX162" i="12" s="1"/>
  <c r="AH165" i="12"/>
  <c r="AX165" i="12" s="1"/>
  <c r="AH112" i="12"/>
  <c r="AX112" i="12" s="1"/>
  <c r="AY112" i="12" s="1"/>
  <c r="AU82" i="12"/>
  <c r="AX82" i="12" s="1"/>
  <c r="AY82" i="12" s="1"/>
  <c r="AH4" i="12"/>
  <c r="AX4" i="12" s="1"/>
  <c r="AH161" i="12"/>
  <c r="AX161" i="12" s="1"/>
  <c r="U149" i="12"/>
  <c r="AX149" i="12" s="1"/>
  <c r="AH229" i="12"/>
  <c r="AX229" i="12" s="1"/>
  <c r="U240" i="12"/>
  <c r="AX240" i="12" s="1"/>
  <c r="U147" i="12"/>
  <c r="AX147" i="12" s="1"/>
  <c r="U170" i="12"/>
  <c r="AX170" i="12" s="1"/>
  <c r="U95" i="12"/>
  <c r="AX95" i="12" s="1"/>
  <c r="AH14" i="12"/>
  <c r="AX14" i="12" s="1"/>
  <c r="AU108" i="12"/>
  <c r="AX108" i="12" s="1"/>
  <c r="AY108" i="12" s="1"/>
  <c r="AU156" i="12"/>
  <c r="AX156" i="12" s="1"/>
  <c r="U146" i="12"/>
  <c r="AX146" i="12" s="1"/>
  <c r="U209" i="12"/>
  <c r="AX209" i="12" s="1"/>
  <c r="AH208" i="12"/>
  <c r="AX208" i="12" s="1"/>
  <c r="AY208" i="12" s="1"/>
  <c r="U236" i="12"/>
  <c r="AX236" i="12" s="1"/>
  <c r="U91" i="12"/>
  <c r="AX91" i="12" s="1"/>
  <c r="AH148" i="12"/>
  <c r="AX148" i="12" s="1"/>
  <c r="AY148" i="12" s="1"/>
  <c r="AH203" i="12"/>
  <c r="AX203" i="12" s="1"/>
  <c r="U12" i="12"/>
  <c r="AX12" i="12" s="1"/>
  <c r="U87" i="12"/>
  <c r="AX87" i="12" s="1"/>
  <c r="U244" i="12"/>
  <c r="AX244" i="12" s="1"/>
  <c r="AH190" i="12"/>
  <c r="AX190" i="12" s="1"/>
  <c r="AH117" i="12"/>
  <c r="AX117" i="12" s="1"/>
  <c r="AH113" i="12"/>
  <c r="AX113" i="12" s="1"/>
  <c r="AH135" i="12"/>
  <c r="U126" i="12"/>
  <c r="AX126" i="12" s="1"/>
  <c r="AH194" i="12"/>
  <c r="AX194" i="12" s="1"/>
  <c r="U245" i="12"/>
  <c r="AX245" i="12" s="1"/>
  <c r="U155" i="12"/>
  <c r="AX155" i="12" s="1"/>
  <c r="U46" i="12"/>
  <c r="AX46" i="12" s="1"/>
  <c r="U56" i="12"/>
  <c r="AX56" i="12" s="1"/>
  <c r="U92" i="12"/>
  <c r="AX92" i="12" s="1"/>
  <c r="U189" i="12"/>
  <c r="AX189" i="12" s="1"/>
  <c r="AH211" i="12"/>
  <c r="AX211" i="12" s="1"/>
  <c r="AH115" i="12"/>
  <c r="AX115" i="12" s="1"/>
  <c r="U27" i="12"/>
  <c r="AX27" i="12" s="1"/>
  <c r="U74" i="12"/>
  <c r="AX74" i="12" s="1"/>
  <c r="U88" i="12"/>
  <c r="AX88" i="12" s="1"/>
  <c r="U205" i="12"/>
  <c r="AX205" i="12" s="1"/>
  <c r="U142" i="12"/>
  <c r="AX142" i="12" s="1"/>
  <c r="U73" i="12"/>
  <c r="AX73" i="12" s="1"/>
  <c r="U93" i="12"/>
  <c r="AX93" i="12" s="1"/>
  <c r="AH99" i="12"/>
  <c r="AX99" i="12" s="1"/>
  <c r="U122" i="12"/>
  <c r="AX122" i="12" s="1"/>
  <c r="U206" i="12"/>
  <c r="AX206" i="12" s="1"/>
  <c r="U133" i="12"/>
  <c r="AX133" i="12" s="1"/>
  <c r="AU195" i="12"/>
  <c r="AX195" i="12" s="1"/>
  <c r="AU5" i="12"/>
  <c r="AX5" i="12" s="1"/>
  <c r="AH111" i="12"/>
  <c r="AX111" i="12" s="1"/>
  <c r="AY111" i="12" s="1"/>
  <c r="U10" i="12"/>
  <c r="AX10" i="12" s="1"/>
  <c r="AU69" i="12"/>
  <c r="AX69" i="12" s="1"/>
  <c r="AY69" i="12" s="1"/>
  <c r="T199" i="12"/>
  <c r="S199" i="12"/>
  <c r="AY184" i="12"/>
  <c r="AY85" i="12"/>
  <c r="U89" i="12"/>
  <c r="AX89" i="12" s="1"/>
  <c r="AY204" i="12"/>
  <c r="AT199" i="12"/>
  <c r="AU199" i="12"/>
  <c r="AH152" i="12"/>
  <c r="AY66" i="12"/>
  <c r="AY99" i="12"/>
  <c r="AY246" i="12"/>
  <c r="AY241" i="12"/>
  <c r="U145" i="12"/>
  <c r="AX145" i="12" s="1"/>
  <c r="U51" i="12"/>
  <c r="AX51" i="12" s="1"/>
  <c r="AS15" i="12"/>
  <c r="AV15" i="12" s="1"/>
  <c r="AW15" i="12" s="1"/>
  <c r="AG173" i="12"/>
  <c r="T173" i="12"/>
  <c r="AS200" i="12"/>
  <c r="AV200" i="12" s="1"/>
  <c r="AW200" i="12" s="1"/>
  <c r="AY30" i="12"/>
  <c r="AU15" i="12"/>
  <c r="U210" i="12"/>
  <c r="AX210" i="12" s="1"/>
  <c r="AY222" i="12"/>
  <c r="AU200" i="12"/>
  <c r="AU18" i="12"/>
  <c r="AY226" i="12"/>
  <c r="U199" i="12"/>
  <c r="AY247" i="12"/>
  <c r="AY217" i="12"/>
  <c r="AY207" i="12"/>
  <c r="AY176" i="12"/>
  <c r="AS17" i="12"/>
  <c r="AF199" i="12"/>
  <c r="AY219" i="12"/>
  <c r="AU198" i="12"/>
  <c r="AT198" i="12"/>
  <c r="AS199" i="12"/>
  <c r="U141" i="12"/>
  <c r="AX141" i="12" s="1"/>
  <c r="AH199" i="12"/>
  <c r="T17" i="12"/>
  <c r="S17" i="12"/>
  <c r="AV17" i="12" s="1"/>
  <c r="AW17" i="12" s="1"/>
  <c r="AY171" i="12"/>
  <c r="AY115" i="12"/>
  <c r="AY140" i="12"/>
  <c r="AY20" i="12"/>
  <c r="AH16" i="12"/>
  <c r="AX16" i="12" s="1"/>
  <c r="AG15" i="12"/>
  <c r="AH15" i="12"/>
  <c r="AY221" i="12"/>
  <c r="U159" i="12"/>
  <c r="AX159" i="12" s="1"/>
  <c r="AU17" i="12"/>
  <c r="AX17" i="12" s="1"/>
  <c r="AY67" i="12"/>
  <c r="K30" i="4"/>
  <c r="AY190" i="12"/>
  <c r="AS18" i="12"/>
  <c r="AV18" i="12" s="1"/>
  <c r="AW18" i="12" s="1"/>
  <c r="AY193" i="12"/>
  <c r="AY228" i="12"/>
  <c r="AC10" i="4" l="1"/>
  <c r="M10" i="14"/>
  <c r="AB10" i="14" s="1"/>
  <c r="Z10" i="14"/>
  <c r="AA10" i="14" s="1"/>
  <c r="AA16" i="14" s="1"/>
  <c r="M85" i="4"/>
  <c r="AB85" i="4" s="1"/>
  <c r="Z85" i="4"/>
  <c r="AA85" i="4" s="1"/>
  <c r="M84" i="4"/>
  <c r="AB84" i="4" s="1"/>
  <c r="Z84" i="4"/>
  <c r="AA84" i="4" s="1"/>
  <c r="AC71" i="4"/>
  <c r="AX199" i="12"/>
  <c r="AV199" i="12"/>
  <c r="AW199" i="12" s="1"/>
  <c r="AX7" i="12"/>
  <c r="AY7" i="12" s="1"/>
  <c r="AX15" i="12"/>
  <c r="AX18" i="12"/>
  <c r="AX58" i="12"/>
  <c r="AX124" i="12"/>
  <c r="AX125" i="12"/>
  <c r="AX135" i="12"/>
  <c r="AX152" i="12"/>
  <c r="AX198" i="12"/>
  <c r="AX200" i="12"/>
  <c r="AX201" i="12"/>
  <c r="AX202" i="12"/>
  <c r="AY202" i="12" s="1"/>
  <c r="AX232" i="12"/>
  <c r="AX243" i="12"/>
  <c r="AY203" i="12"/>
  <c r="AY229" i="12"/>
  <c r="AY74" i="12"/>
  <c r="AY244" i="12"/>
  <c r="AY209" i="12"/>
  <c r="CI27" i="4" s="1"/>
  <c r="AY210" i="12"/>
  <c r="AY55" i="12"/>
  <c r="AY230" i="12"/>
  <c r="AY117" i="12"/>
  <c r="AY175" i="12"/>
  <c r="AY166" i="12"/>
  <c r="AY122" i="12"/>
  <c r="AY87" i="12"/>
  <c r="AY5" i="12"/>
  <c r="AY162" i="12"/>
  <c r="AY178" i="12"/>
  <c r="AY125" i="12"/>
  <c r="AY144" i="12"/>
  <c r="AY220" i="12"/>
  <c r="AY12" i="12"/>
  <c r="AY17" i="12"/>
  <c r="AY224" i="12"/>
  <c r="AY116" i="12"/>
  <c r="AY72" i="12"/>
  <c r="AY101" i="12"/>
  <c r="AY149" i="12"/>
  <c r="AY195" i="12"/>
  <c r="AY128" i="12"/>
  <c r="AY54" i="12"/>
  <c r="AY114" i="12"/>
  <c r="AY96" i="12"/>
  <c r="AY151" i="12"/>
  <c r="AY127" i="12"/>
  <c r="AY143" i="12"/>
  <c r="AY89" i="12"/>
  <c r="AY93" i="12"/>
  <c r="AY161" i="12"/>
  <c r="AY237" i="12"/>
  <c r="AY156" i="12"/>
  <c r="AY188" i="12"/>
  <c r="AY4" i="12"/>
  <c r="AY11" i="12"/>
  <c r="AY75" i="12"/>
  <c r="AY97" i="12"/>
  <c r="AY100" i="12"/>
  <c r="AY51" i="12"/>
  <c r="AY135" i="12"/>
  <c r="AY118" i="12"/>
  <c r="AY227" i="12"/>
  <c r="AY180" i="12"/>
  <c r="AY58" i="12"/>
  <c r="AY59" i="12"/>
  <c r="AY98" i="12"/>
  <c r="AY165" i="12"/>
  <c r="AY18" i="12"/>
  <c r="AY145" i="12"/>
  <c r="AY142" i="12"/>
  <c r="AY91" i="12"/>
  <c r="AY95" i="12"/>
  <c r="AY124" i="12"/>
  <c r="AY103" i="12"/>
  <c r="AY194" i="12"/>
  <c r="AY211" i="12"/>
  <c r="AY102" i="12"/>
  <c r="AY205" i="12"/>
  <c r="AY56" i="12"/>
  <c r="AY94" i="12"/>
  <c r="AY3" i="12"/>
  <c r="AY14" i="12"/>
  <c r="AY200" i="12"/>
  <c r="AY179" i="12"/>
  <c r="AY60" i="12"/>
  <c r="AY152" i="12"/>
  <c r="AY157" i="12"/>
  <c r="AY150" i="12"/>
  <c r="AY107" i="12"/>
  <c r="AY123" i="12"/>
  <c r="AY65" i="12"/>
  <c r="AY133" i="12"/>
  <c r="AY88" i="12"/>
  <c r="AY232" i="12"/>
  <c r="AY238" i="12"/>
  <c r="AY113" i="12"/>
  <c r="AY225" i="12"/>
  <c r="AY223" i="12"/>
  <c r="AY119" i="12"/>
  <c r="AB15" i="4"/>
  <c r="O29" i="4"/>
  <c r="T29" i="4"/>
  <c r="U29" i="4"/>
  <c r="X29" i="4" s="1"/>
  <c r="L30" i="4"/>
  <c r="M30" i="4"/>
  <c r="R30" i="4"/>
  <c r="V30" i="4"/>
  <c r="X30" i="4"/>
  <c r="H32" i="4"/>
  <c r="I32" i="4"/>
  <c r="J32" i="4" s="1"/>
  <c r="N32" i="4"/>
  <c r="O32" i="4"/>
  <c r="R32" i="4" s="1"/>
  <c r="T32" i="4"/>
  <c r="U32" i="4"/>
  <c r="V32" i="4" s="1"/>
  <c r="H34" i="4"/>
  <c r="I34" i="4"/>
  <c r="J34" i="4" s="1"/>
  <c r="N34" i="4"/>
  <c r="O34" i="4"/>
  <c r="P34" i="4" s="1"/>
  <c r="H35" i="4"/>
  <c r="I35" i="4"/>
  <c r="J35" i="4" s="1"/>
  <c r="K35" i="4" s="1"/>
  <c r="M35" i="4" s="1"/>
  <c r="N35" i="4"/>
  <c r="O35" i="4"/>
  <c r="P35" i="4" s="1"/>
  <c r="Q35" i="4" s="1"/>
  <c r="S35" i="4" s="1"/>
  <c r="T35" i="4"/>
  <c r="U35" i="4"/>
  <c r="V35" i="4" s="1"/>
  <c r="L38" i="4"/>
  <c r="Q38" i="4"/>
  <c r="R38" i="4"/>
  <c r="S38" i="4"/>
  <c r="J39" i="4"/>
  <c r="L39" i="4"/>
  <c r="P39" i="4"/>
  <c r="R39" i="4"/>
  <c r="H40" i="4"/>
  <c r="I40" i="4"/>
  <c r="J40" i="4" s="1"/>
  <c r="N40" i="4"/>
  <c r="O40" i="4"/>
  <c r="R40" i="4" s="1"/>
  <c r="T40" i="4"/>
  <c r="U40" i="4"/>
  <c r="V40" i="4" s="1"/>
  <c r="H41" i="4"/>
  <c r="I41" i="4"/>
  <c r="L41" i="4" s="1"/>
  <c r="N41" i="4"/>
  <c r="O41" i="4"/>
  <c r="T41" i="4"/>
  <c r="U41" i="4"/>
  <c r="V41" i="4" s="1"/>
  <c r="I42" i="4"/>
  <c r="N42" i="4"/>
  <c r="O42" i="4"/>
  <c r="T42" i="4"/>
  <c r="U42" i="4"/>
  <c r="V42" i="4" s="1"/>
  <c r="H43" i="4"/>
  <c r="I43" i="4"/>
  <c r="J43" i="4" s="1"/>
  <c r="K43" i="4" s="1"/>
  <c r="M43" i="4" s="1"/>
  <c r="N43" i="4"/>
  <c r="O43" i="4"/>
  <c r="P43" i="4" s="1"/>
  <c r="T43" i="4"/>
  <c r="U43" i="4"/>
  <c r="V43" i="4" s="1"/>
  <c r="H44" i="4"/>
  <c r="I44" i="4"/>
  <c r="N44" i="4"/>
  <c r="O44" i="4"/>
  <c r="P44" i="4" s="1"/>
  <c r="T44" i="4"/>
  <c r="U44" i="4"/>
  <c r="V44" i="4" s="1"/>
  <c r="L45" i="4"/>
  <c r="R45" i="4"/>
  <c r="X45" i="4"/>
  <c r="L46" i="4"/>
  <c r="R46" i="4"/>
  <c r="K47" i="4"/>
  <c r="M47" i="4" s="1"/>
  <c r="L47" i="4"/>
  <c r="R47" i="4"/>
  <c r="L48" i="4"/>
  <c r="R48" i="4"/>
  <c r="L49" i="4"/>
  <c r="R49" i="4"/>
  <c r="L50" i="4"/>
  <c r="R50" i="4"/>
  <c r="L51" i="4"/>
  <c r="Q51" i="4"/>
  <c r="S51" i="4" s="1"/>
  <c r="R51" i="4"/>
  <c r="N52" i="4"/>
  <c r="O52" i="4"/>
  <c r="P83" i="4" s="1"/>
  <c r="T52" i="4"/>
  <c r="U52" i="4"/>
  <c r="V52" i="4" s="1"/>
  <c r="H53" i="4"/>
  <c r="I53" i="4"/>
  <c r="L53" i="4" s="1"/>
  <c r="N53" i="4"/>
  <c r="O53" i="4"/>
  <c r="R53" i="4" s="1"/>
  <c r="T53" i="4"/>
  <c r="U53" i="4"/>
  <c r="V53" i="4" s="1"/>
  <c r="H54" i="4"/>
  <c r="I54" i="4"/>
  <c r="J54" i="4" s="1"/>
  <c r="N54" i="4"/>
  <c r="O54" i="4"/>
  <c r="P54" i="4" s="1"/>
  <c r="T54" i="4"/>
  <c r="U54" i="4"/>
  <c r="W54" i="4" s="1"/>
  <c r="Y54" i="4" s="1"/>
  <c r="H55" i="4"/>
  <c r="I55" i="4"/>
  <c r="J55" i="4" s="1"/>
  <c r="N55" i="4"/>
  <c r="O55" i="4"/>
  <c r="AB56" i="4"/>
  <c r="J57" i="4"/>
  <c r="L57" i="4"/>
  <c r="P57" i="4"/>
  <c r="Q57" i="4" s="1"/>
  <c r="S57" i="4" s="1"/>
  <c r="R57" i="4"/>
  <c r="J58" i="4"/>
  <c r="L58" i="4"/>
  <c r="P58" i="4"/>
  <c r="R58" i="4"/>
  <c r="V58" i="4"/>
  <c r="X58" i="4"/>
  <c r="AB60" i="4"/>
  <c r="H61" i="4"/>
  <c r="I61" i="4"/>
  <c r="J61" i="4" s="1"/>
  <c r="K61" i="4" s="1"/>
  <c r="M61" i="4" s="1"/>
  <c r="N61" i="4"/>
  <c r="O61" i="4"/>
  <c r="P61" i="4" s="1"/>
  <c r="AB62" i="4"/>
  <c r="H64" i="4"/>
  <c r="I64" i="4"/>
  <c r="L64" i="4" s="1"/>
  <c r="N64" i="4"/>
  <c r="O64" i="4"/>
  <c r="P64" i="4" s="1"/>
  <c r="Q64" i="4" s="1"/>
  <c r="S64" i="4" s="1"/>
  <c r="T64" i="4"/>
  <c r="U64" i="4"/>
  <c r="V64" i="4" s="1"/>
  <c r="H65" i="4"/>
  <c r="I65" i="4"/>
  <c r="J65" i="4" s="1"/>
  <c r="K65" i="4" s="1"/>
  <c r="M65" i="4" s="1"/>
  <c r="N65" i="4"/>
  <c r="O65" i="4"/>
  <c r="P65" i="4" s="1"/>
  <c r="T65" i="4"/>
  <c r="U65" i="4"/>
  <c r="V65" i="4" s="1"/>
  <c r="H67" i="4"/>
  <c r="I67" i="4"/>
  <c r="J67" i="4" s="1"/>
  <c r="N67" i="4"/>
  <c r="O67" i="4"/>
  <c r="P67" i="4" s="1"/>
  <c r="Q67" i="4" s="1"/>
  <c r="S67" i="4" s="1"/>
  <c r="T67" i="4"/>
  <c r="U67" i="4"/>
  <c r="V67" i="4" s="1"/>
  <c r="W67" i="4" s="1"/>
  <c r="Y67" i="4" s="1"/>
  <c r="J68" i="4"/>
  <c r="L68" i="4"/>
  <c r="R68" i="4"/>
  <c r="V68" i="4"/>
  <c r="X68" i="4"/>
  <c r="J69" i="4"/>
  <c r="L69" i="4"/>
  <c r="P69" i="4"/>
  <c r="R69" i="4"/>
  <c r="V69" i="4"/>
  <c r="X69" i="4"/>
  <c r="CA12" i="4"/>
  <c r="CB12" i="4"/>
  <c r="CC12" i="4"/>
  <c r="CD12" i="4"/>
  <c r="CE12" i="4"/>
  <c r="CF12" i="4"/>
  <c r="CG12" i="4"/>
  <c r="CH12" i="4"/>
  <c r="CI12" i="4"/>
  <c r="CA13" i="4"/>
  <c r="CB13" i="4"/>
  <c r="CC13" i="4"/>
  <c r="CD13" i="4"/>
  <c r="CE13" i="4"/>
  <c r="CF13" i="4"/>
  <c r="CG13" i="4"/>
  <c r="CH13" i="4"/>
  <c r="CI13" i="4"/>
  <c r="CA14" i="4"/>
  <c r="CB14" i="4"/>
  <c r="CC14" i="4"/>
  <c r="CD14" i="4"/>
  <c r="CE14" i="4"/>
  <c r="CF14" i="4"/>
  <c r="CG14" i="4"/>
  <c r="CH14" i="4"/>
  <c r="CI14" i="4"/>
  <c r="CA15" i="4"/>
  <c r="CB15" i="4"/>
  <c r="CC15" i="4"/>
  <c r="CD15" i="4"/>
  <c r="CE15" i="4"/>
  <c r="CF15" i="4"/>
  <c r="CG15" i="4"/>
  <c r="CH15" i="4"/>
  <c r="CI15" i="4"/>
  <c r="CA16" i="4"/>
  <c r="CB16" i="4"/>
  <c r="CC16" i="4"/>
  <c r="CD16" i="4"/>
  <c r="CE16" i="4"/>
  <c r="CF16" i="4"/>
  <c r="CG16" i="4"/>
  <c r="CH16" i="4"/>
  <c r="CI16" i="4"/>
  <c r="CA17" i="4"/>
  <c r="CB17" i="4"/>
  <c r="CC17" i="4"/>
  <c r="CD17" i="4"/>
  <c r="CE17" i="4"/>
  <c r="CF17" i="4"/>
  <c r="CG17" i="4"/>
  <c r="CH17" i="4"/>
  <c r="CI17" i="4"/>
  <c r="CA18" i="4"/>
  <c r="CB18" i="4"/>
  <c r="CC18" i="4"/>
  <c r="CD18" i="4"/>
  <c r="CE18" i="4"/>
  <c r="CF18" i="4"/>
  <c r="CG18" i="4"/>
  <c r="CH18" i="4"/>
  <c r="CI18" i="4"/>
  <c r="CA19" i="4"/>
  <c r="CB19" i="4"/>
  <c r="CC19" i="4"/>
  <c r="CD19" i="4"/>
  <c r="CE19" i="4"/>
  <c r="CF19" i="4"/>
  <c r="CG19" i="4"/>
  <c r="CH19" i="4"/>
  <c r="CI19" i="4"/>
  <c r="CA20" i="4"/>
  <c r="CB20" i="4"/>
  <c r="CC20" i="4"/>
  <c r="CD20" i="4"/>
  <c r="CE20" i="4"/>
  <c r="CF20" i="4"/>
  <c r="CG20" i="4"/>
  <c r="CH20" i="4"/>
  <c r="CA21" i="4"/>
  <c r="CB21" i="4"/>
  <c r="CC21" i="4"/>
  <c r="CD21" i="4"/>
  <c r="CE21" i="4"/>
  <c r="CF21" i="4"/>
  <c r="CG21" i="4"/>
  <c r="CH21" i="4"/>
  <c r="CA22" i="4"/>
  <c r="CB22" i="4"/>
  <c r="CC22" i="4"/>
  <c r="CD22" i="4"/>
  <c r="CE22" i="4"/>
  <c r="CF22" i="4"/>
  <c r="CG22" i="4"/>
  <c r="CH22" i="4"/>
  <c r="CI22" i="4"/>
  <c r="CA23" i="4"/>
  <c r="CB23" i="4"/>
  <c r="CC23" i="4"/>
  <c r="CD23" i="4"/>
  <c r="CE23" i="4"/>
  <c r="CF23" i="4"/>
  <c r="CG23" i="4"/>
  <c r="CH23" i="4"/>
  <c r="CI23" i="4"/>
  <c r="CA24" i="4"/>
  <c r="CB24" i="4"/>
  <c r="CC24" i="4"/>
  <c r="CD24" i="4"/>
  <c r="CE24" i="4"/>
  <c r="CF24" i="4"/>
  <c r="CG24" i="4"/>
  <c r="CH24" i="4"/>
  <c r="CI24" i="4"/>
  <c r="CA25" i="4"/>
  <c r="CB25" i="4"/>
  <c r="CC25" i="4"/>
  <c r="CD25" i="4"/>
  <c r="CE25" i="4"/>
  <c r="CF25" i="4"/>
  <c r="CG25" i="4"/>
  <c r="CH25" i="4"/>
  <c r="CI25" i="4"/>
  <c r="CA26" i="4"/>
  <c r="CB26" i="4"/>
  <c r="CC26" i="4"/>
  <c r="CD26" i="4"/>
  <c r="CE26" i="4"/>
  <c r="CF26" i="4"/>
  <c r="CG26" i="4"/>
  <c r="CH26" i="4"/>
  <c r="CI26" i="4"/>
  <c r="CA27" i="4"/>
  <c r="CB27" i="4"/>
  <c r="CC27" i="4"/>
  <c r="CD27" i="4"/>
  <c r="CE27" i="4"/>
  <c r="CF27" i="4"/>
  <c r="CG27" i="4"/>
  <c r="CH27" i="4"/>
  <c r="CA28" i="4"/>
  <c r="CB28" i="4"/>
  <c r="CC28" i="4"/>
  <c r="CD28" i="4"/>
  <c r="CE28" i="4"/>
  <c r="CF28" i="4"/>
  <c r="CG28" i="4"/>
  <c r="CH28" i="4"/>
  <c r="CI28" i="4"/>
  <c r="CA29" i="4"/>
  <c r="CB29" i="4"/>
  <c r="CC29" i="4"/>
  <c r="CD29" i="4"/>
  <c r="CE29" i="4"/>
  <c r="CF29" i="4"/>
  <c r="CG29" i="4"/>
  <c r="CH29" i="4"/>
  <c r="CI29" i="4"/>
  <c r="CA30" i="4"/>
  <c r="CB30" i="4"/>
  <c r="CC30" i="4"/>
  <c r="CD30" i="4"/>
  <c r="CE30" i="4"/>
  <c r="CF30" i="4"/>
  <c r="CG30" i="4"/>
  <c r="CH30" i="4"/>
  <c r="CI30" i="4"/>
  <c r="CA31" i="4"/>
  <c r="CB31" i="4"/>
  <c r="CC31" i="4"/>
  <c r="CD31" i="4"/>
  <c r="CE31" i="4"/>
  <c r="CF31" i="4"/>
  <c r="CG31" i="4"/>
  <c r="CH31" i="4"/>
  <c r="CI31" i="4"/>
  <c r="CA32" i="4"/>
  <c r="CB32" i="4"/>
  <c r="CC32" i="4"/>
  <c r="CD32" i="4"/>
  <c r="CE32" i="4"/>
  <c r="CF32" i="4"/>
  <c r="CG32" i="4"/>
  <c r="CH32" i="4"/>
  <c r="CI32" i="4"/>
  <c r="CA33" i="4"/>
  <c r="CB33" i="4"/>
  <c r="CC33" i="4"/>
  <c r="CD33" i="4"/>
  <c r="CE33" i="4"/>
  <c r="CF33" i="4"/>
  <c r="CG33" i="4"/>
  <c r="CH33" i="4"/>
  <c r="CI33" i="4"/>
  <c r="CA34" i="4"/>
  <c r="CB34" i="4"/>
  <c r="CC34" i="4"/>
  <c r="CD34" i="4"/>
  <c r="CE34" i="4"/>
  <c r="CF34" i="4"/>
  <c r="CG34" i="4"/>
  <c r="CH34" i="4"/>
  <c r="CI34" i="4"/>
  <c r="CA35" i="4"/>
  <c r="CB35" i="4"/>
  <c r="CC35" i="4"/>
  <c r="CD35" i="4"/>
  <c r="CE35" i="4"/>
  <c r="CF35" i="4"/>
  <c r="CG35" i="4"/>
  <c r="CH35" i="4"/>
  <c r="CA36" i="4"/>
  <c r="CB36" i="4"/>
  <c r="CC36" i="4"/>
  <c r="CD36" i="4"/>
  <c r="CE36" i="4"/>
  <c r="CF36" i="4"/>
  <c r="CG36" i="4"/>
  <c r="CH36" i="4"/>
  <c r="CI36" i="4"/>
  <c r="CA37" i="4"/>
  <c r="CB37" i="4"/>
  <c r="CC37" i="4"/>
  <c r="CD37" i="4"/>
  <c r="CE37" i="4"/>
  <c r="CF37" i="4"/>
  <c r="CG37" i="4"/>
  <c r="CH37" i="4"/>
  <c r="CI37" i="4"/>
  <c r="CA38" i="4"/>
  <c r="CB38" i="4"/>
  <c r="CC38" i="4"/>
  <c r="CD38" i="4"/>
  <c r="CE38" i="4"/>
  <c r="CF38" i="4"/>
  <c r="CG38" i="4"/>
  <c r="CH38" i="4"/>
  <c r="CI38" i="4"/>
  <c r="CA39" i="4"/>
  <c r="CB39" i="4"/>
  <c r="CC39" i="4"/>
  <c r="CD39" i="4"/>
  <c r="CE39" i="4"/>
  <c r="CF39" i="4"/>
  <c r="CG39" i="4"/>
  <c r="CH39" i="4"/>
  <c r="CI39" i="4"/>
  <c r="CA40" i="4"/>
  <c r="CB40" i="4"/>
  <c r="CC40" i="4"/>
  <c r="CD40" i="4"/>
  <c r="CE40" i="4"/>
  <c r="CF40" i="4"/>
  <c r="CG40" i="4"/>
  <c r="CH40" i="4"/>
  <c r="CI40" i="4"/>
  <c r="CA41" i="4"/>
  <c r="CB41" i="4"/>
  <c r="CC41" i="4"/>
  <c r="CD41" i="4"/>
  <c r="CE41" i="4"/>
  <c r="CF41" i="4"/>
  <c r="CG41" i="4"/>
  <c r="CH41" i="4"/>
  <c r="CI41" i="4"/>
  <c r="CA42" i="4"/>
  <c r="CB42" i="4"/>
  <c r="CC42" i="4"/>
  <c r="CD42" i="4"/>
  <c r="CE42" i="4"/>
  <c r="CF42" i="4"/>
  <c r="CG42" i="4"/>
  <c r="CH42" i="4"/>
  <c r="CI42" i="4"/>
  <c r="CA43" i="4"/>
  <c r="CB43" i="4"/>
  <c r="CC43" i="4"/>
  <c r="CD43" i="4"/>
  <c r="CE43" i="4"/>
  <c r="CF43" i="4"/>
  <c r="CG43" i="4"/>
  <c r="CH43" i="4"/>
  <c r="CI43" i="4"/>
  <c r="CA44" i="4"/>
  <c r="CB44" i="4"/>
  <c r="CC44" i="4"/>
  <c r="CD44" i="4"/>
  <c r="CE44" i="4"/>
  <c r="CF44" i="4"/>
  <c r="CG44" i="4"/>
  <c r="CH44" i="4"/>
  <c r="CA45" i="4"/>
  <c r="CB45" i="4"/>
  <c r="CC45" i="4"/>
  <c r="CD45" i="4"/>
  <c r="CE45" i="4"/>
  <c r="CF45" i="4"/>
  <c r="CG45" i="4"/>
  <c r="CH45" i="4"/>
  <c r="CI45" i="4"/>
  <c r="CA46" i="4"/>
  <c r="CB46" i="4"/>
  <c r="CC46" i="4"/>
  <c r="CD46" i="4"/>
  <c r="CE46" i="4"/>
  <c r="CF46" i="4"/>
  <c r="CG46" i="4"/>
  <c r="CH46" i="4"/>
  <c r="CI46" i="4"/>
  <c r="CA47" i="4"/>
  <c r="CB47" i="4"/>
  <c r="CC47" i="4"/>
  <c r="CD47" i="4"/>
  <c r="CE47" i="4"/>
  <c r="CF47" i="4"/>
  <c r="CG47" i="4"/>
  <c r="CH47" i="4"/>
  <c r="CI47" i="4"/>
  <c r="CA48" i="4"/>
  <c r="CB48" i="4"/>
  <c r="CC48" i="4"/>
  <c r="CD48" i="4"/>
  <c r="CE48" i="4"/>
  <c r="CF48" i="4"/>
  <c r="CG48" i="4"/>
  <c r="CH48" i="4"/>
  <c r="CI48" i="4"/>
  <c r="CA49" i="4"/>
  <c r="CB49" i="4"/>
  <c r="CC49" i="4"/>
  <c r="CD49" i="4"/>
  <c r="CE49" i="4"/>
  <c r="CF49" i="4"/>
  <c r="CG49" i="4"/>
  <c r="CH49" i="4"/>
  <c r="CI49" i="4"/>
  <c r="CA50" i="4"/>
  <c r="CB50" i="4"/>
  <c r="CC50" i="4"/>
  <c r="CD50" i="4"/>
  <c r="CE50" i="4"/>
  <c r="CF50" i="4"/>
  <c r="CG50" i="4"/>
  <c r="CH50" i="4"/>
  <c r="CI50" i="4"/>
  <c r="CA51" i="4"/>
  <c r="CB51" i="4"/>
  <c r="CC51" i="4"/>
  <c r="CD51" i="4"/>
  <c r="CE51" i="4"/>
  <c r="CF51" i="4"/>
  <c r="CG51" i="4"/>
  <c r="CH51" i="4"/>
  <c r="CI51" i="4"/>
  <c r="CA52" i="4"/>
  <c r="CB52" i="4"/>
  <c r="CC52" i="4"/>
  <c r="CD52" i="4"/>
  <c r="CE52" i="4"/>
  <c r="CF52" i="4"/>
  <c r="CG52" i="4"/>
  <c r="CH52" i="4"/>
  <c r="CI52" i="4"/>
  <c r="CA53" i="4"/>
  <c r="CB53" i="4"/>
  <c r="CC53" i="4"/>
  <c r="CD53" i="4"/>
  <c r="CE53" i="4"/>
  <c r="CF53" i="4"/>
  <c r="CG53" i="4"/>
  <c r="CH53" i="4"/>
  <c r="CI53" i="4"/>
  <c r="CA54" i="4"/>
  <c r="CB54" i="4"/>
  <c r="CC54" i="4"/>
  <c r="CD54" i="4"/>
  <c r="CE54" i="4"/>
  <c r="CF54" i="4"/>
  <c r="CG54" i="4"/>
  <c r="CH54" i="4"/>
  <c r="CI54" i="4"/>
  <c r="CA55" i="4"/>
  <c r="CB55" i="4"/>
  <c r="CC55" i="4"/>
  <c r="CD55" i="4"/>
  <c r="CE55" i="4"/>
  <c r="CF55" i="4"/>
  <c r="CG55" i="4"/>
  <c r="CH55" i="4"/>
  <c r="CI55" i="4"/>
  <c r="CA56" i="4"/>
  <c r="CB56" i="4"/>
  <c r="CC56" i="4"/>
  <c r="CD56" i="4"/>
  <c r="CE56" i="4"/>
  <c r="CF56" i="4"/>
  <c r="CG56" i="4"/>
  <c r="CH56" i="4"/>
  <c r="CI56" i="4"/>
  <c r="CA57" i="4"/>
  <c r="CB57" i="4"/>
  <c r="CC57" i="4"/>
  <c r="CD57" i="4"/>
  <c r="CE57" i="4"/>
  <c r="CF57" i="4"/>
  <c r="CG57" i="4"/>
  <c r="CH57" i="4"/>
  <c r="CI57" i="4"/>
  <c r="CA58" i="4"/>
  <c r="CB58" i="4"/>
  <c r="CC58" i="4"/>
  <c r="CD58" i="4"/>
  <c r="CE58" i="4"/>
  <c r="CF58" i="4"/>
  <c r="CG58" i="4"/>
  <c r="CH58" i="4"/>
  <c r="CI58" i="4"/>
  <c r="CA59" i="4"/>
  <c r="CB59" i="4"/>
  <c r="CC59" i="4"/>
  <c r="CD59" i="4"/>
  <c r="CE59" i="4"/>
  <c r="CF59" i="4"/>
  <c r="CG59" i="4"/>
  <c r="CH59" i="4"/>
  <c r="CI59" i="4"/>
  <c r="CA60" i="4"/>
  <c r="CB60" i="4"/>
  <c r="CC60" i="4"/>
  <c r="CD60" i="4"/>
  <c r="CE60" i="4"/>
  <c r="CF60" i="4"/>
  <c r="CG60" i="4"/>
  <c r="CH60" i="4"/>
  <c r="CI60" i="4"/>
  <c r="CA61" i="4"/>
  <c r="CB61" i="4"/>
  <c r="CC61" i="4"/>
  <c r="CD61" i="4"/>
  <c r="CE61" i="4"/>
  <c r="CF61" i="4"/>
  <c r="CG61" i="4"/>
  <c r="CH61" i="4"/>
  <c r="CI61" i="4"/>
  <c r="CA62" i="4"/>
  <c r="CB62" i="4"/>
  <c r="CC62" i="4"/>
  <c r="CD62" i="4"/>
  <c r="CE62" i="4"/>
  <c r="CF62" i="4"/>
  <c r="CG62" i="4"/>
  <c r="CH62" i="4"/>
  <c r="CI62" i="4"/>
  <c r="CA63" i="4"/>
  <c r="CB63" i="4"/>
  <c r="CC63" i="4"/>
  <c r="CD63" i="4"/>
  <c r="CE63" i="4"/>
  <c r="CF63" i="4"/>
  <c r="CG63" i="4"/>
  <c r="CH63" i="4"/>
  <c r="CI63" i="4"/>
  <c r="CA64" i="4"/>
  <c r="CB64" i="4"/>
  <c r="CC64" i="4"/>
  <c r="CD64" i="4"/>
  <c r="CE64" i="4"/>
  <c r="CF64" i="4"/>
  <c r="CG64" i="4"/>
  <c r="CH64" i="4"/>
  <c r="CI64" i="4"/>
  <c r="CA65" i="4"/>
  <c r="CB65" i="4"/>
  <c r="CC65" i="4"/>
  <c r="CD65" i="4"/>
  <c r="CE65" i="4"/>
  <c r="CF65" i="4"/>
  <c r="CG65" i="4"/>
  <c r="CH65" i="4"/>
  <c r="CI65" i="4"/>
  <c r="CA66" i="4"/>
  <c r="CB66" i="4"/>
  <c r="CC66" i="4"/>
  <c r="CD66" i="4"/>
  <c r="CE66" i="4"/>
  <c r="CF66" i="4"/>
  <c r="CG66" i="4"/>
  <c r="CH66" i="4"/>
  <c r="CI66" i="4"/>
  <c r="CA67" i="4"/>
  <c r="CB67" i="4"/>
  <c r="CC67" i="4"/>
  <c r="CD67" i="4"/>
  <c r="CE67" i="4"/>
  <c r="CF67" i="4"/>
  <c r="CG67" i="4"/>
  <c r="CH67" i="4"/>
  <c r="CI67" i="4"/>
  <c r="CA68" i="4"/>
  <c r="CB68" i="4"/>
  <c r="CC68" i="4"/>
  <c r="CD68" i="4"/>
  <c r="CE68" i="4"/>
  <c r="CF68" i="4"/>
  <c r="CG68" i="4"/>
  <c r="CH68" i="4"/>
  <c r="CI68" i="4"/>
  <c r="CA69" i="4"/>
  <c r="CB69" i="4"/>
  <c r="CC69" i="4"/>
  <c r="CD69" i="4"/>
  <c r="CE69" i="4"/>
  <c r="CF69" i="4"/>
  <c r="CG69" i="4"/>
  <c r="CH69" i="4"/>
  <c r="CI69" i="4"/>
  <c r="CA70" i="4"/>
  <c r="CB70" i="4"/>
  <c r="CC70" i="4"/>
  <c r="CD70" i="4"/>
  <c r="CE70" i="4"/>
  <c r="CF70" i="4"/>
  <c r="CG70" i="4"/>
  <c r="CH70" i="4"/>
  <c r="CI70" i="4"/>
  <c r="CI10" i="4"/>
  <c r="CH10" i="4"/>
  <c r="CG10" i="4"/>
  <c r="CF10" i="4"/>
  <c r="CE10" i="4"/>
  <c r="CD10" i="4"/>
  <c r="CC10" i="4"/>
  <c r="CB10" i="4"/>
  <c r="CA10" i="4"/>
  <c r="AF12" i="4"/>
  <c r="AF13" i="4"/>
  <c r="AF14" i="4"/>
  <c r="AF15" i="4"/>
  <c r="AF16" i="4"/>
  <c r="AF17" i="4"/>
  <c r="AF18" i="4"/>
  <c r="AF19" i="4"/>
  <c r="AF20" i="4"/>
  <c r="AF21" i="4"/>
  <c r="AF22" i="4"/>
  <c r="AF23" i="4"/>
  <c r="AF24" i="4"/>
  <c r="AF25" i="4"/>
  <c r="AF26" i="4"/>
  <c r="AF27"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10" i="4"/>
  <c r="P55" i="4" l="1"/>
  <c r="Q55" i="4" s="1"/>
  <c r="S55" i="4" s="1"/>
  <c r="R55" i="4"/>
  <c r="AC10" i="14"/>
  <c r="CR10" i="14" s="1"/>
  <c r="AC85" i="4"/>
  <c r="AC84" i="4"/>
  <c r="P41" i="4"/>
  <c r="Q41" i="4" s="1"/>
  <c r="S41" i="4" s="1"/>
  <c r="R41" i="4"/>
  <c r="X42" i="4"/>
  <c r="X43" i="4"/>
  <c r="R43" i="4"/>
  <c r="L40" i="4"/>
  <c r="X44" i="4"/>
  <c r="R35" i="4"/>
  <c r="R44" i="4"/>
  <c r="X65" i="4"/>
  <c r="L54" i="4"/>
  <c r="X52" i="4"/>
  <c r="X32" i="4"/>
  <c r="X67" i="4"/>
  <c r="R64" i="4"/>
  <c r="L61" i="4"/>
  <c r="L55" i="4"/>
  <c r="X40" i="4"/>
  <c r="R65" i="4"/>
  <c r="X53" i="4"/>
  <c r="L35" i="4"/>
  <c r="X41" i="4"/>
  <c r="R67" i="4"/>
  <c r="X54" i="4"/>
  <c r="R34" i="4"/>
  <c r="L32" i="4"/>
  <c r="L65" i="4"/>
  <c r="X35" i="4"/>
  <c r="L43" i="4"/>
  <c r="L67" i="4"/>
  <c r="R54" i="4"/>
  <c r="L34" i="4"/>
  <c r="X64" i="4"/>
  <c r="R61" i="4"/>
  <c r="L44" i="4"/>
  <c r="P60" i="4"/>
  <c r="P52" i="4"/>
  <c r="AB59" i="4"/>
  <c r="W65" i="4"/>
  <c r="Y65" i="4" s="1"/>
  <c r="Q50" i="4"/>
  <c r="S50" i="4" s="1"/>
  <c r="Q61" i="4"/>
  <c r="S61" i="4" s="1"/>
  <c r="Q34" i="4"/>
  <c r="S34" i="4" s="1"/>
  <c r="Q65" i="4"/>
  <c r="S65" i="4" s="1"/>
  <c r="AB65" i="4" s="1"/>
  <c r="K50" i="4"/>
  <c r="M50" i="4" s="1"/>
  <c r="P68" i="4"/>
  <c r="Q68" i="4" s="1"/>
  <c r="S68" i="4" s="1"/>
  <c r="W45" i="4"/>
  <c r="Y45" i="4" s="1"/>
  <c r="W58" i="4"/>
  <c r="Y58" i="4" s="1"/>
  <c r="AY73" i="12"/>
  <c r="K69" i="4"/>
  <c r="M69" i="4" s="1"/>
  <c r="Q46" i="4"/>
  <c r="S46" i="4" s="1"/>
  <c r="K32" i="4"/>
  <c r="M32" i="4" s="1"/>
  <c r="AY170" i="12"/>
  <c r="AY236" i="12"/>
  <c r="AY10" i="12"/>
  <c r="AY169" i="12"/>
  <c r="AY240" i="12"/>
  <c r="AY155" i="12"/>
  <c r="K68" i="4"/>
  <c r="M68" i="4" s="1"/>
  <c r="K53" i="4"/>
  <c r="M53" i="4" s="1"/>
  <c r="AY46" i="12"/>
  <c r="AY198" i="12"/>
  <c r="AY159" i="12"/>
  <c r="AY206" i="12"/>
  <c r="Q58" i="4"/>
  <c r="S58" i="4" s="1"/>
  <c r="S29" i="4"/>
  <c r="AY173" i="12"/>
  <c r="AY16" i="12"/>
  <c r="K51" i="4"/>
  <c r="M51" i="4" s="1"/>
  <c r="K67" i="4"/>
  <c r="M67" i="4" s="1"/>
  <c r="AB67" i="4" s="1"/>
  <c r="AB36" i="4"/>
  <c r="AY141" i="12"/>
  <c r="AY201" i="12"/>
  <c r="CI21" i="4" s="1"/>
  <c r="AY146" i="12"/>
  <c r="AY239" i="12"/>
  <c r="AY177" i="12"/>
  <c r="AY19" i="12"/>
  <c r="AY9" i="12"/>
  <c r="AY245" i="12"/>
  <c r="AY160" i="12"/>
  <c r="W64" i="4"/>
  <c r="Y64" i="4" s="1"/>
  <c r="K58" i="4"/>
  <c r="M58" i="4" s="1"/>
  <c r="Q49" i="4"/>
  <c r="S49" i="4" s="1"/>
  <c r="Q47" i="4"/>
  <c r="S47" i="4" s="1"/>
  <c r="AY134" i="12"/>
  <c r="AY15" i="12"/>
  <c r="AY126" i="12"/>
  <c r="AY174" i="12"/>
  <c r="AY199" i="12"/>
  <c r="AY136" i="12"/>
  <c r="AY181" i="12"/>
  <c r="AY167" i="12"/>
  <c r="AY189" i="12"/>
  <c r="CI20" i="4" s="1"/>
  <c r="AY153" i="12"/>
  <c r="AY27" i="12"/>
  <c r="AY147" i="12"/>
  <c r="AY182" i="12"/>
  <c r="AY243" i="12"/>
  <c r="AY92" i="12"/>
  <c r="AY90" i="12"/>
  <c r="AB18" i="4"/>
  <c r="AB25" i="4"/>
  <c r="AB23" i="4"/>
  <c r="AB27" i="4"/>
  <c r="K54" i="4"/>
  <c r="M54" i="4" s="1"/>
  <c r="K39" i="4"/>
  <c r="M39" i="4" s="1"/>
  <c r="Q30" i="4"/>
  <c r="S30" i="4" s="1"/>
  <c r="K57" i="4"/>
  <c r="M57" i="4" s="1"/>
  <c r="AB57" i="4" s="1"/>
  <c r="K45" i="4"/>
  <c r="M45" i="4" s="1"/>
  <c r="S42" i="4"/>
  <c r="W41" i="4"/>
  <c r="Y41" i="4" s="1"/>
  <c r="K38" i="4"/>
  <c r="M38" i="4" s="1"/>
  <c r="K34" i="4"/>
  <c r="M34" i="4" s="1"/>
  <c r="W69" i="4"/>
  <c r="Y69" i="4" s="1"/>
  <c r="Q44" i="4"/>
  <c r="S44" i="4" s="1"/>
  <c r="W43" i="4"/>
  <c r="Y43" i="4" s="1"/>
  <c r="W40" i="4"/>
  <c r="Y40" i="4" s="1"/>
  <c r="Q69" i="4"/>
  <c r="S69" i="4" s="1"/>
  <c r="W68" i="4"/>
  <c r="Y68" i="4" s="1"/>
  <c r="Q53" i="4"/>
  <c r="S53" i="4" s="1"/>
  <c r="W52" i="4"/>
  <c r="Y52" i="4" s="1"/>
  <c r="AB52" i="4" s="1"/>
  <c r="K48" i="4"/>
  <c r="M48" i="4" s="1"/>
  <c r="K44" i="4"/>
  <c r="M44" i="4" s="1"/>
  <c r="Q43" i="4"/>
  <c r="S43" i="4" s="1"/>
  <c r="W42" i="4"/>
  <c r="Y42" i="4" s="1"/>
  <c r="Q39" i="4"/>
  <c r="S39" i="4" s="1"/>
  <c r="W30" i="4"/>
  <c r="Y30" i="4" s="1"/>
  <c r="Q48" i="4"/>
  <c r="S48" i="4" s="1"/>
  <c r="K49" i="4"/>
  <c r="M49" i="4" s="1"/>
  <c r="P32" i="4"/>
  <c r="Q32" i="4" s="1"/>
  <c r="S32" i="4" s="1"/>
  <c r="P40" i="4"/>
  <c r="Q40" i="4" s="1"/>
  <c r="S40" i="4" s="1"/>
  <c r="AB24" i="4"/>
  <c r="J41" i="4"/>
  <c r="K41" i="4" s="1"/>
  <c r="M41" i="4" s="1"/>
  <c r="V29" i="4"/>
  <c r="W29" i="4" s="1"/>
  <c r="Y29" i="4" s="1"/>
  <c r="J64" i="4"/>
  <c r="K64" i="4" s="1"/>
  <c r="M64" i="4" s="1"/>
  <c r="K55" i="4"/>
  <c r="M55" i="4" s="1"/>
  <c r="Q54" i="4"/>
  <c r="S54" i="4" s="1"/>
  <c r="W53" i="4"/>
  <c r="Y53" i="4" s="1"/>
  <c r="K46" i="4"/>
  <c r="M46" i="4" s="1"/>
  <c r="Q45" i="4"/>
  <c r="S45" i="4" s="1"/>
  <c r="W44" i="4"/>
  <c r="Y44" i="4" s="1"/>
  <c r="K40" i="4"/>
  <c r="M40" i="4" s="1"/>
  <c r="W35" i="4"/>
  <c r="Y35" i="4" s="1"/>
  <c r="AB35" i="4" s="1"/>
  <c r="W32" i="4"/>
  <c r="Y32" i="4" s="1"/>
  <c r="AB26" i="4"/>
  <c r="AB17" i="4"/>
  <c r="CO12" i="4"/>
  <c r="CO13" i="4"/>
  <c r="CO19" i="4"/>
  <c r="CO20" i="4"/>
  <c r="CO22" i="4"/>
  <c r="CO25" i="4"/>
  <c r="CO26" i="4"/>
  <c r="CO27" i="4"/>
  <c r="CO28" i="4"/>
  <c r="CO30" i="4"/>
  <c r="CO33" i="4"/>
  <c r="CO36" i="4"/>
  <c r="CO37" i="4"/>
  <c r="CO38" i="4"/>
  <c r="CO44" i="4"/>
  <c r="CO45" i="4"/>
  <c r="CO46" i="4"/>
  <c r="CO51" i="4"/>
  <c r="CO52" i="4"/>
  <c r="CO53" i="4"/>
  <c r="CO54" i="4"/>
  <c r="CO57" i="4"/>
  <c r="CO58" i="4"/>
  <c r="CO59" i="4"/>
  <c r="CO61" i="4"/>
  <c r="CO62" i="4"/>
  <c r="CO64" i="4"/>
  <c r="CO68" i="4"/>
  <c r="CO69" i="4"/>
  <c r="CJ70" i="4"/>
  <c r="CJ68" i="4"/>
  <c r="CJ67" i="4"/>
  <c r="CO66" i="4"/>
  <c r="CJ66" i="4"/>
  <c r="CJ63" i="4"/>
  <c r="CJ62" i="4"/>
  <c r="CJ61" i="4"/>
  <c r="CO60" i="4"/>
  <c r="CJ60" i="4"/>
  <c r="CJ59" i="4"/>
  <c r="CJ57" i="4"/>
  <c r="CO56" i="4"/>
  <c r="CO55" i="4"/>
  <c r="CJ55" i="4"/>
  <c r="CJ53" i="4"/>
  <c r="CJ52" i="4"/>
  <c r="CJ51" i="4"/>
  <c r="CO49" i="4"/>
  <c r="CO47" i="4"/>
  <c r="CJ47" i="4"/>
  <c r="CJ46" i="4"/>
  <c r="CJ45" i="4"/>
  <c r="CJ44" i="4"/>
  <c r="CO42" i="4"/>
  <c r="CJ42" i="4"/>
  <c r="CO41" i="4"/>
  <c r="CJ41" i="4"/>
  <c r="CO40" i="4"/>
  <c r="CJ39" i="4"/>
  <c r="CJ38" i="4"/>
  <c r="CJ37" i="4"/>
  <c r="CJ36" i="4"/>
  <c r="CO35" i="4"/>
  <c r="CJ35" i="4"/>
  <c r="CJ32" i="4"/>
  <c r="CO31" i="4"/>
  <c r="CJ31" i="4"/>
  <c r="CJ30" i="4"/>
  <c r="CO29" i="4"/>
  <c r="CJ29" i="4"/>
  <c r="CJ28" i="4"/>
  <c r="CJ26" i="4"/>
  <c r="CJ25" i="4"/>
  <c r="CO24" i="4"/>
  <c r="CO23" i="4"/>
  <c r="CJ23" i="4"/>
  <c r="CJ21" i="4"/>
  <c r="CO17" i="4"/>
  <c r="CJ17" i="4"/>
  <c r="CO16" i="4"/>
  <c r="CO15" i="4"/>
  <c r="CO14" i="4"/>
  <c r="CJ14" i="4"/>
  <c r="CJ13" i="4"/>
  <c r="CJ12" i="4"/>
  <c r="CJ10" i="4"/>
  <c r="CJ15" i="4"/>
  <c r="CJ16" i="4"/>
  <c r="CJ18" i="4"/>
  <c r="CO18" i="4"/>
  <c r="CJ19" i="4"/>
  <c r="CJ20" i="4"/>
  <c r="CO21" i="4"/>
  <c r="CJ22" i="4"/>
  <c r="CJ24" i="4"/>
  <c r="CJ27" i="4"/>
  <c r="CO32" i="4"/>
  <c r="CJ33" i="4"/>
  <c r="CJ34" i="4"/>
  <c r="CO34" i="4"/>
  <c r="CO39" i="4"/>
  <c r="CJ40" i="4"/>
  <c r="CJ43" i="4"/>
  <c r="CO43" i="4"/>
  <c r="CJ48" i="4"/>
  <c r="CO48" i="4"/>
  <c r="CJ49" i="4"/>
  <c r="CJ50" i="4"/>
  <c r="CO50" i="4"/>
  <c r="CJ54" i="4"/>
  <c r="CJ56" i="4"/>
  <c r="CJ58" i="4"/>
  <c r="CO63" i="4"/>
  <c r="CJ64" i="4"/>
  <c r="CJ65" i="4"/>
  <c r="CO65" i="4"/>
  <c r="CO67" i="4"/>
  <c r="CJ69" i="4"/>
  <c r="CO70" i="4"/>
  <c r="CQ12" i="4"/>
  <c r="CP16" i="4"/>
  <c r="CQ16" i="4"/>
  <c r="CP18" i="4"/>
  <c r="CQ19" i="4"/>
  <c r="CP21" i="4"/>
  <c r="CQ21" i="4"/>
  <c r="CQ23" i="4"/>
  <c r="CQ24" i="4"/>
  <c r="CP25" i="4"/>
  <c r="CQ25" i="4"/>
  <c r="CQ26" i="4"/>
  <c r="CQ30" i="4"/>
  <c r="CQ32" i="4"/>
  <c r="CQ34" i="4"/>
  <c r="CQ35" i="4"/>
  <c r="CP37" i="4"/>
  <c r="CQ37" i="4"/>
  <c r="CP41" i="4"/>
  <c r="CQ41" i="4"/>
  <c r="CP43" i="4"/>
  <c r="CQ44" i="4"/>
  <c r="CQ46" i="4"/>
  <c r="CQ48" i="4"/>
  <c r="CP50" i="4"/>
  <c r="CQ50" i="4"/>
  <c r="CQ51" i="4"/>
  <c r="CP53" i="4"/>
  <c r="CP55" i="4"/>
  <c r="CQ55" i="4"/>
  <c r="CP58" i="4"/>
  <c r="CQ59" i="4"/>
  <c r="CP61" i="4"/>
  <c r="CQ61" i="4"/>
  <c r="CP63" i="4"/>
  <c r="CQ63" i="4"/>
  <c r="CP65" i="4"/>
  <c r="CQ65" i="4"/>
  <c r="CQ66" i="4"/>
  <c r="CP68" i="4"/>
  <c r="CQ68" i="4"/>
  <c r="CP70" i="4"/>
  <c r="CN14" i="4"/>
  <c r="CN15" i="4"/>
  <c r="CN18" i="4"/>
  <c r="CN20" i="4"/>
  <c r="CN21" i="4"/>
  <c r="CN27" i="4"/>
  <c r="CN29" i="4"/>
  <c r="CN30" i="4"/>
  <c r="CN36" i="4"/>
  <c r="CN37" i="4"/>
  <c r="CN39" i="4"/>
  <c r="CN40" i="4"/>
  <c r="CN45" i="4"/>
  <c r="CN46" i="4"/>
  <c r="CN52" i="4"/>
  <c r="CN53" i="4"/>
  <c r="CN55" i="4"/>
  <c r="CN58" i="4"/>
  <c r="CN60" i="4"/>
  <c r="CN61" i="4"/>
  <c r="CN65" i="4"/>
  <c r="CN67" i="4"/>
  <c r="CN70" i="4"/>
  <c r="CM12" i="4"/>
  <c r="CL13" i="4"/>
  <c r="CM13" i="4"/>
  <c r="CL16" i="4"/>
  <c r="CM20" i="4"/>
  <c r="CM21" i="4"/>
  <c r="CL22" i="4"/>
  <c r="CM23" i="4"/>
  <c r="CL28" i="4"/>
  <c r="CM28" i="4"/>
  <c r="CL29" i="4"/>
  <c r="CL30" i="4"/>
  <c r="CM30" i="4"/>
  <c r="CM32" i="4"/>
  <c r="CM35" i="4"/>
  <c r="CL38" i="4"/>
  <c r="CM38" i="4"/>
  <c r="CM39" i="4"/>
  <c r="CL41" i="4"/>
  <c r="CM41" i="4"/>
  <c r="CL43" i="4"/>
  <c r="CL45" i="4"/>
  <c r="CL46" i="4"/>
  <c r="CM46" i="4"/>
  <c r="CL47" i="4"/>
  <c r="CL48" i="4"/>
  <c r="CM48" i="4"/>
  <c r="CL50" i="4"/>
  <c r="CM53" i="4"/>
  <c r="CL54" i="4"/>
  <c r="CM54" i="4"/>
  <c r="CM55" i="4"/>
  <c r="CM58" i="4"/>
  <c r="CL60" i="4"/>
  <c r="CL61" i="4"/>
  <c r="CL62" i="4"/>
  <c r="CL63" i="4"/>
  <c r="CM63" i="4"/>
  <c r="CM67" i="4"/>
  <c r="CM68" i="4"/>
  <c r="CL69" i="4"/>
  <c r="CM69" i="4"/>
  <c r="CM70" i="4"/>
  <c r="CP10" i="4"/>
  <c r="CK13" i="4"/>
  <c r="CK15" i="4"/>
  <c r="CK16" i="4"/>
  <c r="CK22" i="4"/>
  <c r="CK27" i="4"/>
  <c r="CK28" i="4"/>
  <c r="CK29" i="4"/>
  <c r="CK30" i="4"/>
  <c r="CK34" i="4"/>
  <c r="CK38" i="4"/>
  <c r="CK40" i="4"/>
  <c r="CK41" i="4"/>
  <c r="CK47" i="4"/>
  <c r="CK48" i="4"/>
  <c r="CK50" i="4"/>
  <c r="CK56" i="4"/>
  <c r="CK60" i="4"/>
  <c r="CK61" i="4"/>
  <c r="CK62" i="4"/>
  <c r="CK65" i="4"/>
  <c r="CK69" i="4"/>
  <c r="AB46" i="4" l="1"/>
  <c r="AB55" i="4"/>
  <c r="CI35" i="4"/>
  <c r="CI44" i="4"/>
  <c r="AB41" i="4"/>
  <c r="AB49" i="4"/>
  <c r="AB40" i="4"/>
  <c r="AB58" i="4"/>
  <c r="AB64" i="4"/>
  <c r="AB43" i="4"/>
  <c r="AB34" i="4"/>
  <c r="AB38" i="4"/>
  <c r="AB39" i="4"/>
  <c r="AB51" i="4"/>
  <c r="AB50" i="4"/>
  <c r="AB48" i="4"/>
  <c r="AB47" i="4"/>
  <c r="AB69" i="4"/>
  <c r="AB68" i="4"/>
  <c r="AB45" i="4"/>
  <c r="AB30" i="4"/>
  <c r="AB42" i="4"/>
  <c r="AB29" i="4"/>
  <c r="AB16" i="4"/>
  <c r="AB22" i="4"/>
  <c r="AB44" i="4"/>
  <c r="AB21" i="4"/>
  <c r="AB54" i="4"/>
  <c r="AB19" i="4"/>
  <c r="AB20" i="4"/>
  <c r="AB53" i="4"/>
  <c r="AB32" i="4"/>
  <c r="AB61" i="4"/>
  <c r="CQ14" i="4"/>
  <c r="CM15" i="4"/>
  <c r="CK17" i="4"/>
  <c r="CM18" i="4"/>
  <c r="CK20" i="4"/>
  <c r="CN22" i="4"/>
  <c r="CP23" i="4"/>
  <c r="CL24" i="4"/>
  <c r="CN25" i="4"/>
  <c r="CL27" i="4"/>
  <c r="CQ27" i="4"/>
  <c r="CK31" i="4"/>
  <c r="CP32" i="4"/>
  <c r="CL33" i="4"/>
  <c r="CN34" i="4"/>
  <c r="CQ36" i="4"/>
  <c r="CQ39" i="4"/>
  <c r="CM40" i="4"/>
  <c r="CK42" i="4"/>
  <c r="CQ52" i="4"/>
  <c r="CP12" i="4"/>
  <c r="CQ29" i="4"/>
  <c r="CL36" i="4"/>
  <c r="CM43" i="4"/>
  <c r="CK45" i="4"/>
  <c r="CP48" i="4"/>
  <c r="CN50" i="4"/>
  <c r="CL52" i="4"/>
  <c r="CP45" i="4"/>
  <c r="CN47" i="4"/>
  <c r="CL49" i="4"/>
  <c r="CP20" i="4"/>
  <c r="CP34" i="4"/>
  <c r="CM45" i="4"/>
  <c r="CM60" i="4"/>
  <c r="CN13" i="4"/>
  <c r="CL15" i="4"/>
  <c r="CQ18" i="4"/>
  <c r="CM22" i="4"/>
  <c r="CK24" i="4"/>
  <c r="CP27" i="4"/>
  <c r="CN28" i="4"/>
  <c r="CK33" i="4"/>
  <c r="CP36" i="4"/>
  <c r="CN38" i="4"/>
  <c r="CL40" i="4"/>
  <c r="CQ43" i="4"/>
  <c r="CM47" i="4"/>
  <c r="CK49" i="4"/>
  <c r="CP52" i="4"/>
  <c r="CN54" i="4"/>
  <c r="CL56" i="4"/>
  <c r="CQ58" i="4"/>
  <c r="CM62" i="4"/>
  <c r="CK64" i="4"/>
  <c r="CP67" i="4"/>
  <c r="CN69" i="4"/>
  <c r="CM56" i="4"/>
  <c r="CK57" i="4"/>
  <c r="CP60" i="4"/>
  <c r="CN62" i="4"/>
  <c r="CL64" i="4"/>
  <c r="CQ67" i="4"/>
  <c r="CP13" i="4"/>
  <c r="CL17" i="4"/>
  <c r="CQ20" i="4"/>
  <c r="CM24" i="4"/>
  <c r="CK26" i="4"/>
  <c r="CP28" i="4"/>
  <c r="CL31" i="4"/>
  <c r="CM33" i="4"/>
  <c r="CK35" i="4"/>
  <c r="CP38" i="4"/>
  <c r="CL42" i="4"/>
  <c r="CQ45" i="4"/>
  <c r="CM49" i="4"/>
  <c r="CK51" i="4"/>
  <c r="CP54" i="4"/>
  <c r="CN56" i="4"/>
  <c r="CL57" i="4"/>
  <c r="CQ60" i="4"/>
  <c r="CM64" i="4"/>
  <c r="CK66" i="4"/>
  <c r="CP69" i="4"/>
  <c r="CQ13" i="4"/>
  <c r="CM17" i="4"/>
  <c r="CK19" i="4"/>
  <c r="CP22" i="4"/>
  <c r="CN24" i="4"/>
  <c r="CL26" i="4"/>
  <c r="CQ28" i="4"/>
  <c r="CM31" i="4"/>
  <c r="CN33" i="4"/>
  <c r="CL35" i="4"/>
  <c r="CQ38" i="4"/>
  <c r="CM42" i="4"/>
  <c r="CK44" i="4"/>
  <c r="CP47" i="4"/>
  <c r="CN49" i="4"/>
  <c r="CL51" i="4"/>
  <c r="CQ54" i="4"/>
  <c r="CM57" i="4"/>
  <c r="CK59" i="4"/>
  <c r="CP62" i="4"/>
  <c r="CN64" i="4"/>
  <c r="CL66" i="4"/>
  <c r="CQ69" i="4"/>
  <c r="CK12" i="4"/>
  <c r="CP15" i="4"/>
  <c r="CN17" i="4"/>
  <c r="CL19" i="4"/>
  <c r="CQ22" i="4"/>
  <c r="CM26" i="4"/>
  <c r="CN31" i="4"/>
  <c r="CK37" i="4"/>
  <c r="CP40" i="4"/>
  <c r="CN42" i="4"/>
  <c r="CL44" i="4"/>
  <c r="CQ47" i="4"/>
  <c r="CM51" i="4"/>
  <c r="CK53" i="4"/>
  <c r="CP56" i="4"/>
  <c r="CN57" i="4"/>
  <c r="CL59" i="4"/>
  <c r="CQ62" i="4"/>
  <c r="CM66" i="4"/>
  <c r="CK68" i="4"/>
  <c r="CL12" i="4"/>
  <c r="CQ15" i="4"/>
  <c r="CM19" i="4"/>
  <c r="CK21" i="4"/>
  <c r="CP24" i="4"/>
  <c r="CN26" i="4"/>
  <c r="CP33" i="4"/>
  <c r="CN35" i="4"/>
  <c r="CL37" i="4"/>
  <c r="CQ40" i="4"/>
  <c r="CM44" i="4"/>
  <c r="CK46" i="4"/>
  <c r="CP49" i="4"/>
  <c r="CN51" i="4"/>
  <c r="CL53" i="4"/>
  <c r="CQ56" i="4"/>
  <c r="CM59" i="4"/>
  <c r="CP64" i="4"/>
  <c r="CN66" i="4"/>
  <c r="CL68" i="4"/>
  <c r="CK14" i="4"/>
  <c r="CP17" i="4"/>
  <c r="CN19" i="4"/>
  <c r="CL21" i="4"/>
  <c r="CP31" i="4"/>
  <c r="CQ33" i="4"/>
  <c r="CM37" i="4"/>
  <c r="CK39" i="4"/>
  <c r="CP42" i="4"/>
  <c r="CN44" i="4"/>
  <c r="CQ49" i="4"/>
  <c r="CK55" i="4"/>
  <c r="CP57" i="4"/>
  <c r="CN59" i="4"/>
  <c r="CQ64" i="4"/>
  <c r="CK70" i="4"/>
  <c r="CN12" i="4"/>
  <c r="CL14" i="4"/>
  <c r="CQ17" i="4"/>
  <c r="CK23" i="4"/>
  <c r="CP26" i="4"/>
  <c r="CQ31" i="4"/>
  <c r="CK32" i="4"/>
  <c r="CP35" i="4"/>
  <c r="CL39" i="4"/>
  <c r="CQ42" i="4"/>
  <c r="CP51" i="4"/>
  <c r="CL55" i="4"/>
  <c r="CQ57" i="4"/>
  <c r="CM61" i="4"/>
  <c r="CK63" i="4"/>
  <c r="CP66" i="4"/>
  <c r="CN68" i="4"/>
  <c r="CL70" i="4"/>
  <c r="CM14" i="4"/>
  <c r="CP19" i="4"/>
  <c r="CL23" i="4"/>
  <c r="CM29" i="4"/>
  <c r="CL32" i="4"/>
  <c r="CP44" i="4"/>
  <c r="CP59" i="4"/>
  <c r="CK25" i="4"/>
  <c r="CM16" i="4"/>
  <c r="CK18" i="4"/>
  <c r="CN23" i="4"/>
  <c r="CL25" i="4"/>
  <c r="CN32" i="4"/>
  <c r="CL34" i="4"/>
  <c r="CK43" i="4"/>
  <c r="CP46" i="4"/>
  <c r="CN48" i="4"/>
  <c r="CQ53" i="4"/>
  <c r="CK58" i="4"/>
  <c r="CN63" i="4"/>
  <c r="CL65" i="4"/>
  <c r="CP14" i="4"/>
  <c r="CN16" i="4"/>
  <c r="CL18" i="4"/>
  <c r="CM25" i="4"/>
  <c r="CP29" i="4"/>
  <c r="CM34" i="4"/>
  <c r="CK36" i="4"/>
  <c r="CP39" i="4"/>
  <c r="CN41" i="4"/>
  <c r="CM50" i="4"/>
  <c r="CK52" i="4"/>
  <c r="CL58" i="4"/>
  <c r="CM65" i="4"/>
  <c r="CK67" i="4"/>
  <c r="CL67" i="4"/>
  <c r="CQ70" i="4"/>
  <c r="CL20" i="4"/>
  <c r="CM27" i="4"/>
  <c r="CP30" i="4"/>
  <c r="CM36" i="4"/>
  <c r="CN43" i="4"/>
  <c r="CM52" i="4"/>
  <c r="CK54" i="4"/>
  <c r="CQ10" i="4"/>
  <c r="CL10" i="4"/>
  <c r="CM10" i="4"/>
  <c r="CN10" i="4"/>
  <c r="CK10" i="4"/>
  <c r="CO10" i="4"/>
  <c r="A12" i="4" l="1"/>
  <c r="Z12" i="4" s="1"/>
  <c r="AA12" i="4" s="1"/>
  <c r="A13" i="4"/>
  <c r="A14" i="4"/>
  <c r="A15" i="4"/>
  <c r="A16" i="4"/>
  <c r="A17" i="4"/>
  <c r="A18" i="4"/>
  <c r="A19" i="4"/>
  <c r="A20" i="4"/>
  <c r="A21" i="4"/>
  <c r="A22" i="4"/>
  <c r="A24" i="4"/>
  <c r="A25" i="4"/>
  <c r="A26" i="4"/>
  <c r="A27" i="4"/>
  <c r="A28" i="4"/>
  <c r="Z28" i="4" s="1"/>
  <c r="AA28" i="4" s="1"/>
  <c r="AC28" i="4" s="1"/>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Z66" i="4" s="1"/>
  <c r="AA66" i="4" s="1"/>
  <c r="AC66" i="4" s="1"/>
  <c r="A67" i="4"/>
  <c r="A68" i="4"/>
  <c r="Z68" i="4" s="1"/>
  <c r="AA68" i="4" s="1"/>
  <c r="AC68" i="4" s="1"/>
  <c r="CR68" i="4" s="1"/>
  <c r="A69" i="4"/>
  <c r="Z69" i="4" s="1"/>
  <c r="AA69" i="4" s="1"/>
  <c r="AC69" i="4" s="1"/>
  <c r="CR69" i="4" s="1"/>
  <c r="A70" i="4"/>
  <c r="CR70" i="4"/>
  <c r="Z67" i="4" l="1"/>
  <c r="AA67" i="4" s="1"/>
  <c r="AC67" i="4" s="1"/>
  <c r="CR67" i="4" s="1"/>
  <c r="AC12" i="4"/>
  <c r="CR66" i="4"/>
  <c r="Z65" i="4"/>
  <c r="AA65" i="4" s="1"/>
  <c r="AC65" i="4" s="1"/>
  <c r="CR65" i="4" s="1"/>
  <c r="Z64" i="4"/>
  <c r="AA64" i="4" s="1"/>
  <c r="AC64" i="4" s="1"/>
  <c r="CR64" i="4" s="1"/>
  <c r="CR63" i="4"/>
  <c r="Z62" i="4"/>
  <c r="AA62" i="4" s="1"/>
  <c r="AC62" i="4" s="1"/>
  <c r="CR62" i="4" s="1"/>
  <c r="Z61" i="4"/>
  <c r="AA61" i="4" s="1"/>
  <c r="AC61" i="4" s="1"/>
  <c r="CR61" i="4" s="1"/>
  <c r="Z60" i="4"/>
  <c r="AA60" i="4" s="1"/>
  <c r="AC60" i="4" s="1"/>
  <c r="CR60" i="4" s="1"/>
  <c r="Z59" i="4"/>
  <c r="AA59" i="4" s="1"/>
  <c r="AC59" i="4" s="1"/>
  <c r="CR59" i="4" s="1"/>
  <c r="Z58" i="4"/>
  <c r="AA58" i="4" s="1"/>
  <c r="AC58" i="4" s="1"/>
  <c r="CR58" i="4" s="1"/>
  <c r="Z57" i="4"/>
  <c r="AA57" i="4" s="1"/>
  <c r="AC57" i="4" s="1"/>
  <c r="CR57" i="4" s="1"/>
  <c r="Z56" i="4"/>
  <c r="AA56" i="4" s="1"/>
  <c r="AC56" i="4" s="1"/>
  <c r="CR56" i="4" s="1"/>
  <c r="Z55" i="4"/>
  <c r="AA55" i="4" s="1"/>
  <c r="AC55" i="4" s="1"/>
  <c r="CR55" i="4" s="1"/>
  <c r="Z54" i="4"/>
  <c r="AA54" i="4" s="1"/>
  <c r="AC54" i="4" s="1"/>
  <c r="CR54" i="4" s="1"/>
  <c r="Z53" i="4"/>
  <c r="AA53" i="4" s="1"/>
  <c r="AC53" i="4" s="1"/>
  <c r="CR53" i="4" s="1"/>
  <c r="Z52" i="4"/>
  <c r="AA52" i="4" s="1"/>
  <c r="AC52" i="4" s="1"/>
  <c r="CR52" i="4" s="1"/>
  <c r="Z51" i="4"/>
  <c r="AA51" i="4" s="1"/>
  <c r="AC51" i="4" s="1"/>
  <c r="CR51" i="4" s="1"/>
  <c r="Z50" i="4"/>
  <c r="AA50" i="4" s="1"/>
  <c r="AC50" i="4" s="1"/>
  <c r="CR50" i="4" s="1"/>
  <c r="Z49" i="4"/>
  <c r="AA49" i="4" s="1"/>
  <c r="AC49" i="4" s="1"/>
  <c r="CR49" i="4" s="1"/>
  <c r="Z48" i="4"/>
  <c r="AA48" i="4" s="1"/>
  <c r="AC48" i="4" s="1"/>
  <c r="CR48" i="4" s="1"/>
  <c r="Z47" i="4"/>
  <c r="AA47" i="4" s="1"/>
  <c r="AC47" i="4" s="1"/>
  <c r="CR47" i="4" s="1"/>
  <c r="Z46" i="4"/>
  <c r="AA46" i="4" s="1"/>
  <c r="AC46" i="4" s="1"/>
  <c r="CR46" i="4" s="1"/>
  <c r="Z45" i="4"/>
  <c r="AA45" i="4" s="1"/>
  <c r="AC45" i="4" s="1"/>
  <c r="CR45" i="4" s="1"/>
  <c r="Z44" i="4"/>
  <c r="AA44" i="4" s="1"/>
  <c r="AC44" i="4" s="1"/>
  <c r="CR44" i="4" s="1"/>
  <c r="Z43" i="4"/>
  <c r="AA43" i="4" s="1"/>
  <c r="AC43" i="4" s="1"/>
  <c r="CR43" i="4" s="1"/>
  <c r="Z42" i="4"/>
  <c r="AA42" i="4" s="1"/>
  <c r="AC42" i="4" s="1"/>
  <c r="CR42" i="4" s="1"/>
  <c r="Z41" i="4"/>
  <c r="AA41" i="4" s="1"/>
  <c r="AC41" i="4" s="1"/>
  <c r="CR41" i="4" s="1"/>
  <c r="Z40" i="4"/>
  <c r="AA40" i="4" s="1"/>
  <c r="AC40" i="4" s="1"/>
  <c r="CR40" i="4" s="1"/>
  <c r="Z39" i="4"/>
  <c r="AA39" i="4" s="1"/>
  <c r="AC39" i="4" s="1"/>
  <c r="CR39" i="4" s="1"/>
  <c r="Z38" i="4"/>
  <c r="AA38" i="4" s="1"/>
  <c r="AC38" i="4" s="1"/>
  <c r="CR38" i="4" s="1"/>
  <c r="AC37" i="4"/>
  <c r="CR37" i="4" s="1"/>
  <c r="Z36" i="4"/>
  <c r="AA36" i="4" s="1"/>
  <c r="AC36" i="4" s="1"/>
  <c r="CR36" i="4" s="1"/>
  <c r="Z35" i="4"/>
  <c r="AA35" i="4" s="1"/>
  <c r="AC35" i="4" s="1"/>
  <c r="CR35" i="4" s="1"/>
  <c r="Z34" i="4"/>
  <c r="AA34" i="4" s="1"/>
  <c r="AC34" i="4" s="1"/>
  <c r="CR34" i="4" s="1"/>
  <c r="CR33" i="4"/>
  <c r="Z32" i="4"/>
  <c r="AA32" i="4" s="1"/>
  <c r="AC32" i="4" s="1"/>
  <c r="CR32" i="4" s="1"/>
  <c r="AC31" i="4"/>
  <c r="CR31" i="4" s="1"/>
  <c r="Z30" i="4"/>
  <c r="AA30" i="4" s="1"/>
  <c r="AC30" i="4" s="1"/>
  <c r="CR30" i="4" s="1"/>
  <c r="Z29" i="4"/>
  <c r="AA29" i="4" s="1"/>
  <c r="AC29" i="4" s="1"/>
  <c r="CR29" i="4" s="1"/>
  <c r="Z27" i="4"/>
  <c r="AA27" i="4" s="1"/>
  <c r="AC27" i="4" s="1"/>
  <c r="CR27" i="4" s="1"/>
  <c r="Z26" i="4"/>
  <c r="AA26" i="4" s="1"/>
  <c r="AC26" i="4" s="1"/>
  <c r="CR26" i="4" s="1"/>
  <c r="Z25" i="4"/>
  <c r="AA25" i="4" s="1"/>
  <c r="AC25" i="4" s="1"/>
  <c r="CR25" i="4" s="1"/>
  <c r="Z24" i="4"/>
  <c r="AA24" i="4" s="1"/>
  <c r="AC24" i="4" s="1"/>
  <c r="CR24" i="4" s="1"/>
  <c r="Z23" i="4"/>
  <c r="AA23" i="4" s="1"/>
  <c r="AC23" i="4" s="1"/>
  <c r="CR23" i="4" s="1"/>
  <c r="Z22" i="4"/>
  <c r="AA22" i="4" s="1"/>
  <c r="AC22" i="4" s="1"/>
  <c r="CR22" i="4" s="1"/>
  <c r="Z21" i="4"/>
  <c r="AA21" i="4" s="1"/>
  <c r="AC21" i="4" s="1"/>
  <c r="CR21" i="4" s="1"/>
  <c r="Z20" i="4"/>
  <c r="AA20" i="4" s="1"/>
  <c r="AC20" i="4" s="1"/>
  <c r="CR20" i="4" s="1"/>
  <c r="Z19" i="4"/>
  <c r="AA19" i="4" s="1"/>
  <c r="AC19" i="4" s="1"/>
  <c r="CR19" i="4" s="1"/>
  <c r="Z18" i="4"/>
  <c r="AA18" i="4" s="1"/>
  <c r="Z17" i="4"/>
  <c r="AA17" i="4" s="1"/>
  <c r="AC17" i="4" s="1"/>
  <c r="CR17" i="4" s="1"/>
  <c r="Z16" i="4"/>
  <c r="AA16" i="4" s="1"/>
  <c r="AC16" i="4" s="1"/>
  <c r="CR16" i="4" s="1"/>
  <c r="Z15" i="4"/>
  <c r="AA15" i="4" s="1"/>
  <c r="AC15" i="4" s="1"/>
  <c r="CR15" i="4" s="1"/>
  <c r="Z14" i="4"/>
  <c r="AA14" i="4" s="1"/>
  <c r="AC14" i="4" s="1"/>
  <c r="CR14" i="4" s="1"/>
  <c r="Z13" i="4"/>
  <c r="AA13" i="4" s="1"/>
  <c r="CR28" i="4"/>
  <c r="CR12" i="4"/>
  <c r="AC18" i="4"/>
  <c r="CR18" i="4" s="1"/>
  <c r="AA89" i="4" l="1"/>
  <c r="AC13" i="4"/>
  <c r="CR13" i="4" s="1"/>
  <c r="AB4" i="4"/>
  <c r="AB6" i="4" s="1"/>
  <c r="AV97" i="7" l="1"/>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AM83" i="7" s="1"/>
  <c r="AN83" i="7" s="1"/>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AM44" i="7" s="1"/>
  <c r="AN44" i="7" s="1"/>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AM14" i="7" s="1"/>
  <c r="AN14" i="7" s="1"/>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57" i="7" l="1"/>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CR10" i="4" l="1"/>
</calcChain>
</file>

<file path=xl/sharedStrings.xml><?xml version="1.0" encoding="utf-8"?>
<sst xmlns="http://schemas.openxmlformats.org/spreadsheetml/2006/main" count="9834" uniqueCount="2294">
  <si>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</si>
  <si>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</si>
  <si>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</si>
  <si>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</si>
  <si>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</si>
  <si>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</si>
  <si>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</si>
  <si>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</si>
  <si>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 xml:space="preserve">Estudio de Mercado </t>
  </si>
  <si>
    <t>FECHA DE DILIGENCIAMIENTO DEL ESTUDIO DE MERCADO</t>
  </si>
  <si>
    <t>MODALIDAD CONTRATACIÓN</t>
  </si>
  <si>
    <t>ESTRUCTURADOR</t>
  </si>
  <si>
    <t>REVISÓ</t>
  </si>
  <si>
    <t>APROBÓ</t>
  </si>
  <si>
    <t>OBJETO DEL PROCESO DE CONTRATACIÓN</t>
  </si>
  <si>
    <t>RECURSO HUMANO</t>
  </si>
  <si>
    <t>Cotización 1</t>
  </si>
  <si>
    <t>Cotización 2</t>
  </si>
  <si>
    <t>Cotización 3</t>
  </si>
  <si>
    <t>Procesos en Otras Entidades</t>
  </si>
  <si>
    <t>Promedio Simple</t>
  </si>
  <si>
    <t>Media Geométrica</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</si>
  <si>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</si>
  <si>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</si>
  <si>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</si>
  <si>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</si>
  <si>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</si>
  <si>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</si>
  <si>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</si>
  <si>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</si>
  <si>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</si>
  <si>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</si>
  <si>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</si>
  <si>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</si>
  <si>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</si>
  <si>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</si>
  <si>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Nombre Entidad</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</si>
  <si>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</si>
  <si>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</si>
  <si>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</si>
  <si>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</si>
  <si>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</si>
  <si>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</si>
  <si>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</si>
  <si>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</si>
  <si>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</si>
  <si>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</si>
  <si>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</si>
  <si>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</si>
  <si>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</si>
  <si>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</si>
  <si>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</si>
  <si>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</si>
  <si>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</si>
  <si>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</si>
  <si>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</si>
  <si>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</si>
  <si>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</si>
  <si>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</si>
  <si>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</si>
  <si>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</si>
  <si>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</si>
  <si>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</si>
  <si>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</si>
  <si>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</si>
  <si>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</si>
  <si>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</si>
  <si>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</si>
  <si>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</si>
  <si>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</si>
  <si>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</si>
  <si>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</si>
  <si>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</si>
  <si>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</si>
  <si>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</si>
  <si>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</si>
  <si>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</si>
  <si>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</si>
  <si>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</si>
  <si>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</si>
  <si>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</si>
  <si>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</si>
  <si>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</si>
  <si>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</si>
  <si>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</si>
  <si>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</si>
  <si>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</si>
  <si>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</si>
  <si>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</si>
  <si>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</si>
  <si>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</si>
  <si>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</si>
  <si>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</si>
  <si>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</si>
  <si>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</si>
  <si>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</si>
  <si>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</si>
  <si>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</si>
  <si>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</si>
  <si>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</si>
  <si>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</si>
  <si>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</si>
  <si>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</si>
  <si>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</si>
  <si>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</si>
  <si>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</si>
  <si>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</si>
  <si>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</si>
  <si>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</si>
  <si>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</si>
  <si>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</si>
  <si>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</si>
  <si>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</si>
  <si>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</si>
  <si>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</si>
  <si>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</si>
  <si>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</si>
  <si>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</si>
  <si>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</si>
  <si>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</si>
  <si>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</si>
  <si>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</si>
  <si>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</si>
  <si>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</si>
  <si>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</si>
  <si>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</si>
  <si>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</si>
  <si>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</si>
  <si>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</si>
  <si>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</si>
  <si>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</si>
  <si>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</si>
  <si>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</si>
  <si>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</si>
  <si>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</si>
  <si>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</si>
  <si>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</si>
  <si>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</si>
  <si>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</si>
  <si>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</si>
  <si>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</si>
  <si>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</si>
  <si>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</si>
  <si>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</si>
  <si>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</si>
  <si>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</si>
  <si>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</si>
  <si>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</si>
  <si>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</si>
  <si>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</si>
  <si>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</si>
  <si>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</si>
  <si>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</si>
  <si>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</si>
  <si>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</si>
  <si>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</si>
  <si>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</si>
  <si>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Estructurador</t>
  </si>
  <si>
    <t>Proyecto</t>
  </si>
  <si>
    <t>Código UNSPSC</t>
  </si>
  <si>
    <t>Compra Alquiler
Prestación Servicio</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</si>
  <si>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</si>
  <si>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</si>
  <si>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</si>
  <si>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</si>
  <si>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</si>
  <si>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</si>
  <si>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</si>
  <si>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Valor Unitario sin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</si>
  <si>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</si>
  <si>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</si>
  <si>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</si>
  <si>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</si>
  <si>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</si>
  <si>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</si>
  <si>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</si>
  <si>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</si>
  <si>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</si>
  <si>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</si>
  <si>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</si>
  <si>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</si>
  <si>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</si>
  <si>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</si>
  <si>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</si>
  <si>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</si>
  <si>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Unidad</t>
  </si>
  <si>
    <t>Compra</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</si>
  <si>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</si>
  <si>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</si>
  <si>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</si>
  <si>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</si>
  <si>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</si>
  <si>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</si>
  <si>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</si>
  <si>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</si>
  <si>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</si>
  <si>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</si>
  <si>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</si>
  <si>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</si>
  <si>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</si>
  <si>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</si>
  <si>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</si>
  <si>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</si>
  <si>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</si>
  <si>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</si>
  <si>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</si>
  <si>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</si>
  <si>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</si>
  <si>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</si>
  <si>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</si>
  <si>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</si>
  <si>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</si>
  <si>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</si>
  <si>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</si>
  <si>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</si>
  <si>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</si>
  <si>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</si>
  <si>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</si>
  <si>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</si>
  <si>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</si>
  <si>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</si>
  <si>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</si>
  <si>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</si>
  <si>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</si>
  <si>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</si>
  <si>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</si>
  <si>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</si>
  <si>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</si>
  <si>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</si>
  <si>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</si>
  <si>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</si>
  <si>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</si>
  <si>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</si>
  <si>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</si>
  <si>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</si>
  <si>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</si>
  <si>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</si>
  <si>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</si>
  <si>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</si>
  <si>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</si>
  <si>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</si>
  <si>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</si>
  <si>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</si>
  <si>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</si>
  <si>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</si>
  <si>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</si>
  <si>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Exito</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</si>
  <si>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</si>
  <si>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</si>
  <si>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</si>
  <si>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</si>
  <si>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</si>
  <si>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</si>
  <si>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</si>
  <si>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</si>
  <si>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</si>
  <si>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</si>
  <si>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</si>
  <si>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</si>
  <si>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</si>
  <si>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</si>
  <si>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</si>
  <si>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</si>
  <si>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</si>
  <si>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</si>
  <si>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Comercializadora Tj</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</si>
  <si>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</si>
  <si>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</si>
  <si>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</si>
  <si>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</si>
  <si>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</si>
  <si>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</si>
  <si>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</si>
  <si>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</si>
  <si>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</si>
  <si>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</si>
  <si>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</si>
  <si>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</si>
  <si>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</si>
  <si>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</si>
  <si>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</si>
  <si>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</si>
  <si>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</si>
  <si>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</si>
  <si>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</si>
  <si>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</si>
  <si>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</si>
  <si>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</si>
  <si>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</si>
  <si>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</si>
  <si>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</si>
  <si>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</si>
  <si>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</si>
  <si>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</si>
  <si>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</si>
  <si>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</si>
  <si>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</si>
  <si>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</si>
  <si>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</si>
  <si>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</si>
  <si>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</si>
  <si>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</si>
  <si>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</si>
  <si>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</si>
  <si>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</si>
  <si>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</si>
  <si>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</si>
  <si>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</si>
  <si>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</si>
  <si>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</si>
  <si>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</si>
  <si>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</si>
  <si>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</si>
  <si>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</si>
  <si>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</si>
  <si>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</si>
  <si>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</si>
  <si>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</si>
  <si>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</si>
  <si>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</si>
  <si>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</si>
  <si>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</si>
  <si>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</si>
  <si>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</si>
  <si>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</si>
  <si>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</si>
  <si>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</si>
  <si>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</si>
  <si>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</si>
  <si>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</si>
  <si>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</si>
  <si>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</si>
  <si>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 10 bombillos</t>
  </si>
  <si>
    <t xml:space="preserve">ALQUILER METRO LINEAL DE EXTENSIÓN DE 10 BOMBILLOS LED TIPO PING PONG 3W ENTRE CADA UNO PARA EXTERIORES CON INSTALACIÓN Y DESINSTALACIÓN INCLUIDA.(SERVICIO POR EVENTO DE 4 A 6 HORAS) </t>
  </si>
  <si>
    <t>Alquiler metro de extensión 15 bombillos</t>
  </si>
  <si>
    <t xml:space="preserve">ALQUILER METRO LINEAL DE EXTENSIÓN DE 15 BOMBILLOS LED TIPO PING PONG 3W ENTRE CADA UNO PARA EXTERIORES CON INSTALACIÓN Y DESINSTALACIÓN INCLUIDA.(SERVICIO POR EVENTO DE 4 A 6 HORAS) </t>
  </si>
  <si>
    <t>Alquiler metro de extensión 20 bombillos</t>
  </si>
  <si>
    <t xml:space="preserve">ALQUILER METRO LINEAL DE EXTENSIÓN DE 20 BOMBILLOS LED TIPO PING PONG 3W ENTRE CADA UNO PARA EXTERIORES CON INSTALACIÓN Y DESINSTALACIÓN INCLUIDA.(SERVICIO POR EVENTO DE 4 A 6 HORAS) </t>
  </si>
  <si>
    <t>Alquiler metro de extensión</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</si>
  <si>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</si>
  <si>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</si>
  <si>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</si>
  <si>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</si>
  <si>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</si>
  <si>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</si>
  <si>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</si>
  <si>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</si>
  <si>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</si>
  <si>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</si>
  <si>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</si>
  <si>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</si>
  <si>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</si>
  <si>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</si>
  <si>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</si>
  <si>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</si>
  <si>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</si>
  <si>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</si>
  <si>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</si>
  <si>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</si>
  <si>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</si>
  <si>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</si>
  <si>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</si>
  <si>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</si>
  <si>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</si>
  <si>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</si>
  <si>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</si>
  <si>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</si>
  <si>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</si>
  <si>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</si>
  <si>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</si>
  <si>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</si>
  <si>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</si>
  <si>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</si>
  <si>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</si>
  <si>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</si>
  <si>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</si>
  <si>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</si>
  <si>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</si>
  <si>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</si>
  <si>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</si>
  <si>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</si>
  <si>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</si>
  <si>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</si>
  <si>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</si>
  <si>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</si>
  <si>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</si>
  <si>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</si>
  <si>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</si>
  <si>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</si>
  <si>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</si>
  <si>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</si>
  <si>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</si>
  <si>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</si>
  <si>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</si>
  <si>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</si>
  <si>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</si>
  <si>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</si>
  <si>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</si>
  <si>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</si>
  <si>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</si>
  <si>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</si>
  <si>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</si>
  <si>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</si>
  <si>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</si>
  <si>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</si>
  <si>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</si>
  <si>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</si>
  <si>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</si>
  <si>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</si>
  <si>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</si>
  <si>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</si>
  <si>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</si>
  <si>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</si>
  <si>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</si>
  <si>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</si>
  <si>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</si>
  <si>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</si>
  <si>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</si>
  <si>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</si>
  <si>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</si>
  <si>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</si>
  <si>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</si>
  <si>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</si>
  <si>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</si>
  <si>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</si>
  <si>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</si>
  <si>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</si>
  <si>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</si>
  <si>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</si>
  <si>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</si>
  <si>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</si>
  <si>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</si>
  <si>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</si>
  <si>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</si>
  <si>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</si>
  <si>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</si>
  <si>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</si>
  <si>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</si>
  <si>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</si>
  <si>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</si>
  <si>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</si>
  <si>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</si>
  <si>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</si>
  <si>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</si>
  <si>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</si>
  <si>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</si>
  <si>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</si>
  <si>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</si>
  <si>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</si>
  <si>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</si>
  <si>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</si>
  <si>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</si>
  <si>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</si>
  <si>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</si>
  <si>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</si>
  <si>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</si>
  <si>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</si>
  <si>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</si>
  <si>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</si>
  <si>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</si>
  <si>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</si>
  <si>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</si>
  <si>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</si>
  <si>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</si>
  <si>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</si>
  <si>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</si>
  <si>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</si>
  <si>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</si>
  <si>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</si>
  <si>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</si>
  <si>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</si>
  <si>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</si>
  <si>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</si>
  <si>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</si>
  <si>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</si>
  <si>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</si>
  <si>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</si>
  <si>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</si>
  <si>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</si>
  <si>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</si>
  <si>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</si>
  <si>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</si>
  <si>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Gran Papelera</t>
  </si>
  <si>
    <t>Cartel Arte y papeleria</t>
  </si>
  <si>
    <t>Icopel_Bitácora icopel ½ papel bond 50 hojas</t>
  </si>
  <si>
    <t>Icopel</t>
  </si>
  <si>
    <t>Block iris tamaño carta</t>
  </si>
  <si>
    <t>Block de papel Iris, con hojas de 125 g/m², tamaño carta (21.6 x 27.9 cm), x 50 hojas</t>
  </si>
  <si>
    <t>Tienda estudiantil_Varios</t>
  </si>
  <si>
    <t>Tienda Estudiantil</t>
  </si>
  <si>
    <t>Renovacion libreria y papeleria_Varios 16-02-2026...</t>
  </si>
  <si>
    <t>Renovacion Libreria y Papeleria</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</si>
  <si>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</si>
  <si>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</si>
  <si>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</si>
  <si>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</si>
  <si>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</si>
  <si>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</si>
  <si>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</si>
  <si>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</si>
  <si>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</si>
  <si>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</si>
  <si>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</si>
  <si>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</si>
  <si>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</si>
  <si>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</si>
  <si>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Papeleria la Estacion de Suba</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</si>
  <si>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</si>
  <si>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</si>
  <si>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</si>
  <si>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</si>
  <si>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</si>
  <si>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</si>
  <si>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</si>
  <si>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</si>
  <si>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</si>
  <si>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</si>
  <si>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</si>
  <si>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</si>
  <si>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Papeleria Gran Central</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</si>
  <si>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</si>
  <si>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</si>
  <si>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</si>
  <si>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</si>
  <si>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</si>
  <si>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</si>
  <si>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</si>
  <si>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</si>
  <si>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</si>
  <si>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</si>
  <si>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</si>
  <si>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</si>
  <si>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</si>
  <si>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</si>
  <si>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</si>
  <si>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</si>
  <si>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</si>
  <si>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</si>
  <si>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</si>
  <si>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</si>
  <si>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</si>
  <si>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</si>
  <si>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</si>
  <si>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</si>
  <si>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</si>
  <si>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</si>
  <si>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</si>
  <si>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</si>
  <si>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</si>
  <si>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</si>
  <si>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</si>
  <si>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</si>
  <si>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</si>
  <si>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</si>
  <si>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</si>
  <si>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</si>
  <si>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</si>
  <si>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</si>
  <si>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</si>
  <si>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</si>
  <si>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</si>
  <si>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</si>
  <si>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</si>
  <si>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</si>
  <si>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</si>
  <si>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Papeleria Jonan</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</si>
  <si>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</si>
  <si>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</si>
  <si>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</si>
  <si>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</si>
  <si>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</si>
  <si>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</si>
  <si>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</si>
  <si>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</si>
  <si>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</si>
  <si>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</si>
  <si>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</si>
  <si>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</si>
  <si>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</si>
  <si>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</si>
  <si>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</si>
  <si>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</si>
  <si>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</si>
  <si>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</si>
  <si>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Cartulina por octavos paquete 50 láminas</t>
  </si>
  <si>
    <t>Paquete de 50 láminas de cartulina de 25 x 35 cm (1/8 de pliego), gramaje de 180g, colores surtidos o color único según requerimiento.</t>
  </si>
  <si>
    <t>Panamericana_Cartulina pack 160 gr, tamaño 1_8 , 16</t>
  </si>
  <si>
    <t>Panamericana</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</si>
  <si>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</si>
  <si>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</si>
  <si>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</si>
  <si>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</si>
  <si>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GUERRA EDITORES</t>
  </si>
  <si>
    <t>JEGAR PUBLICIDAD MISIONES.pdf</t>
  </si>
  <si>
    <t>Cinta enmascarar 48 mm x40 mt</t>
  </si>
  <si>
    <t>Cinta de enmascarar de alta adherencia de 48 mm (2") x 20 m</t>
  </si>
  <si>
    <t>Cinta transparente gruesa</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</si>
  <si>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</si>
  <si>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</si>
  <si>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</si>
  <si>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</si>
  <si>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</si>
  <si>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</si>
  <si>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</si>
  <si>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</si>
  <si>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Renovacion libreria y papeleria</t>
  </si>
  <si>
    <t>Colores  Caja x 12 punta sencilla</t>
  </si>
  <si>
    <t>Caja de lápices de colores x 12 unidades, única punta, de minas suaves, resistentes y fácil de afilar</t>
  </si>
  <si>
    <t>INVER Y DISTRIBUIDORES DIAMOND_Varios</t>
  </si>
  <si>
    <t>INVER Y DISTRIBUIDORES DIAMOND</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</si>
  <si>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</si>
  <si>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</si>
  <si>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</si>
  <si>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</si>
  <si>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</si>
  <si>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</si>
  <si>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</si>
  <si>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</si>
  <si>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</si>
  <si>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</si>
  <si>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</si>
  <si>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</si>
  <si>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</si>
  <si>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</si>
  <si>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</si>
  <si>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</si>
  <si>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</si>
  <si>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</si>
  <si>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</si>
  <si>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</si>
  <si>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</si>
  <si>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</si>
  <si>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</si>
  <si>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</si>
  <si>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</si>
  <si>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</si>
  <si>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</si>
  <si>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</si>
  <si>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</si>
  <si>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</si>
  <si>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</si>
  <si>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</si>
  <si>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</si>
  <si>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</si>
  <si>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</si>
  <si>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</si>
  <si>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</si>
  <si>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</si>
  <si>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</si>
  <si>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</si>
  <si>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</si>
  <si>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</si>
  <si>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</si>
  <si>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</si>
  <si>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</si>
  <si>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</si>
  <si>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</si>
  <si>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 xml:space="preserve">Esfero cualquier color caja x 10 </t>
  </si>
  <si>
    <t>Caja de 10 bolígrafos con tinta suave de baja viscosidad en colores variados. Cuerpo ergonómico transparente para control de tinta, punta de tungsteno para trazos precisos y tapa de seguridad ventilada.</t>
  </si>
  <si>
    <t>Guerra Editores_ Varios</t>
  </si>
  <si>
    <t>LIBRERIA Y PAPELERIA TIENDA ESTUDIANTIL LTDA</t>
  </si>
  <si>
    <t>ENTRERPRISE SSR_Varios</t>
  </si>
  <si>
    <t>ENTREPRISE</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</si>
  <si>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</si>
  <si>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</si>
  <si>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</si>
  <si>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</si>
  <si>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</si>
  <si>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</si>
  <si>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</si>
  <si>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</si>
  <si>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</si>
  <si>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</si>
  <si>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</si>
  <si>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</si>
  <si>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</si>
  <si>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</si>
  <si>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</si>
  <si>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</si>
  <si>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</si>
  <si>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</si>
  <si>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</si>
  <si>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</si>
  <si>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</si>
  <si>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</si>
  <si>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</si>
  <si>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</si>
  <si>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</si>
  <si>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</si>
  <si>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</si>
  <si>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</si>
  <si>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</si>
  <si>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</si>
  <si>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</si>
  <si>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</si>
  <si>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</si>
  <si>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</si>
  <si>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</si>
  <si>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</si>
  <si>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</si>
  <si>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</si>
  <si>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</si>
  <si>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</si>
  <si>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</si>
  <si>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</si>
  <si>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</si>
  <si>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</si>
  <si>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</si>
  <si>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</si>
  <si>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</si>
  <si>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</si>
  <si>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Lápiz caja x 12</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</si>
  <si>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</si>
  <si>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</si>
  <si>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</si>
  <si>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</si>
  <si>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</si>
  <si>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</si>
  <si>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Norma</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</si>
  <si>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</si>
  <si>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</si>
  <si>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</si>
  <si>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</si>
  <si>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</si>
  <si>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</si>
  <si>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</si>
  <si>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</si>
  <si>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</si>
  <si>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</si>
  <si>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</si>
  <si>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</si>
  <si>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</si>
  <si>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</si>
  <si>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</si>
  <si>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</si>
  <si>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</si>
  <si>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</si>
  <si>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</si>
  <si>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</si>
  <si>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</si>
  <si>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</si>
  <si>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</si>
  <si>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</si>
  <si>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Marcador borrable caja x 10</t>
  </si>
  <si>
    <t>Caja de 10 marcadores para tablero blanco con tinta de borrado en seco, colores intensos y bajo olor. Punta acrílica de alta resistencia (redonda o biselada)</t>
  </si>
  <si>
    <t>Libreriatroya.com_Marcadores k-marker borrable kores x10.pdf</t>
  </si>
  <si>
    <t>LibreriaTroya.com</t>
  </si>
  <si>
    <t>Papeleria Paraiso.pdf</t>
  </si>
  <si>
    <t>Papeleria Paraiso</t>
  </si>
  <si>
    <t xml:space="preserve">Marcador permanente caja x 10 </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</si>
  <si>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</si>
  <si>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</si>
  <si>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</si>
  <si>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</si>
  <si>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</si>
  <si>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</si>
  <si>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</si>
  <si>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</si>
  <si>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</si>
  <si>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</si>
  <si>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</si>
  <si>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</si>
  <si>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</si>
  <si>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</si>
  <si>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Hommecenter</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</si>
  <si>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</si>
  <si>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</si>
  <si>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</si>
  <si>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</si>
  <si>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</si>
  <si>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</si>
  <si>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</si>
  <si>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</si>
  <si>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</si>
  <si>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</si>
  <si>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</si>
  <si>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</si>
  <si>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</si>
  <si>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</si>
  <si>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</si>
  <si>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</si>
  <si>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</si>
  <si>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</si>
  <si>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</si>
  <si>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</si>
  <si>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PAPELERIA LA ESTACION DE SUBA</t>
  </si>
  <si>
    <t>La gran papeleria_NOTAS ADHESIVAS REMOVIBLES X100 HOJAS</t>
  </si>
  <si>
    <t>Notas Adhesivas (Post-it) cuadradas 5x 5 cm</t>
  </si>
  <si>
    <t>Bloque de 100 notas adhesivas de 5 x 5 cm (2" x 2"), fabricadas en papel de alto gramaje con acabado mate.</t>
  </si>
  <si>
    <t>Ofix_Notas Adhesivas (Post-it) cuadradas 5x 5 cm.pdf</t>
  </si>
  <si>
    <t>Ofix</t>
  </si>
  <si>
    <t>La Garza_Notas Adhesivas (Post-it) cuadradas 5x 5 cm.pdf</t>
  </si>
  <si>
    <t>La Garza</t>
  </si>
  <si>
    <t>DINGLI – DetalShop_NOTAS ADHESIVAS COLORES NEON 76 X 76 X 100 HJS</t>
  </si>
  <si>
    <t>DINGLI - DETALSHOP</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</si>
  <si>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</si>
  <si>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</si>
  <si>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</si>
  <si>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</si>
  <si>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</si>
  <si>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</si>
  <si>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</si>
  <si>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</si>
  <si>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</si>
  <si>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</si>
  <si>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</si>
  <si>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</si>
  <si>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</si>
  <si>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</si>
  <si>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</si>
  <si>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</si>
  <si>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</si>
  <si>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</si>
  <si>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</si>
  <si>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</si>
  <si>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</si>
  <si>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</si>
  <si>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</si>
  <si>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</si>
  <si>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</si>
  <si>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</si>
  <si>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</si>
  <si>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</si>
  <si>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</si>
  <si>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</si>
  <si>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</si>
  <si>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</si>
  <si>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</si>
  <si>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</si>
  <si>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</si>
  <si>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</si>
  <si>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</si>
  <si>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</si>
  <si>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</si>
  <si>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</si>
  <si>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</si>
  <si>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</si>
  <si>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</si>
  <si>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</si>
  <si>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</si>
  <si>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</si>
  <si>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</si>
  <si>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</si>
  <si>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</si>
  <si>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</si>
  <si>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</si>
  <si>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Suescun</t>
  </si>
  <si>
    <t>Pegante  en barra 40 gr.</t>
  </si>
  <si>
    <t>Adhesivo sólido en barra de 40 gramos, formulado para un secado rápido y limpio. Producto no tóxico, lavable y libre de solventes</t>
  </si>
  <si>
    <t>Suescun_Pegante en Barra Sipega 40gr 🧴!.pdf</t>
  </si>
  <si>
    <t>DetalShop_PEGANTE EN BARRA 40 GRS.pdf</t>
  </si>
  <si>
    <t>Detal shop</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</si>
  <si>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</si>
  <si>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</si>
  <si>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</si>
  <si>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</si>
  <si>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</si>
  <si>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</si>
  <si>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</si>
  <si>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</si>
  <si>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</si>
  <si>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</si>
  <si>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</si>
  <si>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</si>
  <si>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</si>
  <si>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</si>
  <si>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</si>
  <si>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</si>
  <si>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</si>
  <si>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</si>
  <si>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</si>
  <si>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</si>
  <si>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</si>
  <si>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</si>
  <si>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</si>
  <si>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</si>
  <si>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</si>
  <si>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</si>
  <si>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</si>
  <si>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</si>
  <si>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</si>
  <si>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</si>
  <si>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</si>
  <si>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FALABELLA</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</si>
  <si>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</si>
  <si>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</si>
  <si>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</si>
  <si>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</si>
  <si>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</si>
  <si>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</si>
  <si>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</si>
  <si>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</si>
  <si>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</si>
  <si>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</si>
  <si>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PANAMERICANA</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</si>
  <si>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</si>
  <si>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</si>
  <si>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</si>
  <si>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</si>
  <si>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</si>
  <si>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</si>
  <si>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</si>
  <si>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</si>
  <si>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</si>
  <si>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</si>
  <si>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</si>
  <si>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</si>
  <si>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</si>
  <si>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</si>
  <si>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</si>
  <si>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</si>
  <si>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</si>
  <si>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</si>
  <si>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</si>
  <si>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</si>
  <si>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</si>
  <si>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</si>
  <si>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</si>
  <si>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</si>
  <si>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</si>
  <si>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</si>
  <si>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</si>
  <si>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</si>
  <si>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</si>
  <si>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</si>
  <si>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</si>
  <si>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</si>
  <si>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</si>
  <si>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hoja blanca tamaño carta</t>
  </si>
  <si>
    <t>Resma de papel bond tamaño carta: Paquete de 500 hojas de 75 gr</t>
  </si>
  <si>
    <t>PAPELERIA PARAISO</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</si>
  <si>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</si>
  <si>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</si>
  <si>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</si>
  <si>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</si>
  <si>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</si>
  <si>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</si>
  <si>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</si>
  <si>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</si>
  <si>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</si>
  <si>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</si>
  <si>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</si>
  <si>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</si>
  <si>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</si>
  <si>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</si>
  <si>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</si>
  <si>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</si>
  <si>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</si>
  <si>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</si>
  <si>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</si>
  <si>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</si>
  <si>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</si>
  <si>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</si>
  <si>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</si>
  <si>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</si>
  <si>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</si>
  <si>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</si>
  <si>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</si>
  <si>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</si>
  <si>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</si>
  <si>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</si>
  <si>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</si>
  <si>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</si>
  <si>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</si>
  <si>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</si>
  <si>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</si>
  <si>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</si>
  <si>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</si>
  <si>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</si>
  <si>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</si>
  <si>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</si>
  <si>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</si>
  <si>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</si>
  <si>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</si>
  <si>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</si>
  <si>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</si>
  <si>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</si>
  <si>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</si>
  <si>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</si>
  <si>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</si>
  <si>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</si>
  <si>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</si>
  <si>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</si>
  <si>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</si>
  <si>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</si>
  <si>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</si>
  <si>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</si>
  <si>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</si>
  <si>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</si>
  <si>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</si>
  <si>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</si>
  <si>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</si>
  <si>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</si>
  <si>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</si>
  <si>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</si>
  <si>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</si>
  <si>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</si>
  <si>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</si>
  <si>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</si>
  <si>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</si>
  <si>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</si>
  <si>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</si>
  <si>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</si>
  <si>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</si>
  <si>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</si>
  <si>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</si>
  <si>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</si>
  <si>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</si>
  <si>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</si>
  <si>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</si>
  <si>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</si>
  <si>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</si>
  <si>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</si>
  <si>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</si>
  <si>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</si>
  <si>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</si>
  <si>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</si>
  <si>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</si>
  <si>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</si>
  <si>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</si>
  <si>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</si>
  <si>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</si>
  <si>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40 x 60 cm</t>
  </si>
  <si>
    <t>Tablero acrílico con base trípode caballete metálico con trípode , medidas tablero 40 x 60 cm</t>
  </si>
  <si>
    <t>Falabella.com_Tablero Acrilico Cuadricula 80x120 + tripode MAOS.pdf</t>
  </si>
  <si>
    <t>Falabella</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</si>
  <si>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</si>
  <si>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</si>
  <si>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</si>
  <si>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</si>
  <si>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</si>
  <si>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</si>
  <si>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</si>
  <si>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</si>
  <si>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</si>
  <si>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</si>
  <si>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</si>
  <si>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</si>
  <si>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PAPELERIA LA GRAN 12</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</si>
  <si>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</si>
  <si>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</si>
  <si>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</si>
  <si>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</si>
  <si>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</si>
  <si>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</si>
  <si>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</si>
  <si>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</si>
  <si>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</si>
  <si>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</si>
  <si>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</si>
  <si>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HOMECENTER</t>
  </si>
  <si>
    <t>Novacol_Tijera metalica 8 genérica</t>
  </si>
  <si>
    <t>IMPORTADORA NOVACOL</t>
  </si>
  <si>
    <t>Papyser_TIJERA MODISTERIA 6 METALICA</t>
  </si>
  <si>
    <t>PAPYSER</t>
  </si>
  <si>
    <t>Tijera punta roma</t>
  </si>
  <si>
    <t>Tijera punta roma: Herramienta de corte con hojas de acero inoxidable y puntas redondeadas para mayor seguridad. Mango ergonómico de polímero de alta resistencia. Tamaño entre 5 y 5.5 pulgadas</t>
  </si>
  <si>
    <t>Mil Herrajes Colombia_Tijera Punta Roma Sencilla.pdf</t>
  </si>
  <si>
    <t>Mil Herrajes</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</si>
  <si>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</si>
  <si>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</si>
  <si>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</si>
  <si>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</si>
  <si>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</si>
  <si>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</si>
  <si>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</si>
  <si>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</si>
  <si>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</si>
  <si>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</si>
  <si>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</si>
  <si>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</si>
  <si>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</si>
  <si>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</si>
  <si>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</si>
  <si>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</si>
  <si>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</si>
  <si>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</si>
  <si>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</si>
  <si>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</si>
  <si>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</si>
  <si>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</si>
  <si>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</si>
  <si>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</si>
  <si>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</si>
  <si>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</si>
  <si>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</si>
  <si>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</si>
  <si>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</si>
  <si>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</si>
  <si>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</si>
  <si>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</si>
  <si>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</si>
  <si>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</si>
  <si>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</si>
  <si>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</si>
  <si>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</si>
  <si>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</si>
  <si>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</si>
  <si>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</si>
  <si>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</si>
  <si>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</si>
  <si>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</si>
  <si>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</si>
  <si>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</si>
  <si>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</si>
  <si>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</si>
  <si>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</si>
  <si>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</si>
  <si>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</si>
  <si>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</si>
  <si>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</si>
  <si>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</si>
  <si>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</si>
  <si>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</si>
  <si>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</si>
  <si>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</si>
  <si>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</si>
  <si>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</si>
  <si>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</si>
  <si>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</si>
  <si>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</si>
  <si>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</si>
  <si>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</si>
  <si>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</si>
  <si>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</si>
  <si>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</si>
  <si>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</si>
  <si>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</si>
  <si>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</si>
  <si>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</si>
  <si>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</si>
  <si>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</si>
  <si>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</si>
  <si>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</si>
  <si>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</si>
  <si>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</si>
  <si>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</si>
  <si>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</si>
  <si>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</si>
  <si>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</si>
  <si>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</si>
  <si>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</si>
  <si>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</si>
  <si>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</si>
  <si>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</si>
  <si>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Llaveros Simbólicos</t>
  </si>
  <si>
    <t>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</si>
  <si>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</si>
  <si>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</si>
  <si>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</si>
  <si>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</si>
  <si>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</si>
  <si>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</si>
  <si>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</si>
  <si>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</si>
  <si>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</si>
  <si>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</si>
  <si>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</si>
  <si>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</si>
  <si>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</si>
  <si>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</si>
  <si>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</si>
  <si>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</si>
  <si>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</si>
  <si>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</si>
  <si>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</si>
  <si>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</si>
  <si>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</si>
  <si>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</si>
  <si>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</si>
  <si>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</si>
  <si>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</si>
  <si>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</si>
  <si>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</si>
  <si>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</si>
  <si>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</si>
  <si>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</si>
  <si>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</si>
  <si>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</si>
  <si>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</si>
  <si>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</si>
  <si>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</si>
  <si>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</si>
  <si>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</si>
  <si>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</si>
  <si>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</si>
  <si>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</si>
  <si>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</si>
  <si>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</si>
  <si>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</si>
  <si>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</si>
  <si>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</si>
  <si>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</si>
  <si>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</si>
  <si>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</si>
  <si>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</si>
  <si>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</si>
  <si>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</si>
  <si>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</si>
  <si>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</si>
  <si>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</si>
  <si>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</si>
  <si>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</si>
  <si>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</si>
  <si>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</si>
  <si>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</si>
  <si>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</si>
  <si>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</si>
  <si>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Dotación Comunales</t>
  </si>
  <si>
    <t>Silla plegable</t>
  </si>
  <si>
    <t xml:space="preserve">Silla plegable color negro Altura x Ancho : mínimo 75cm X  mínimo 45 cm  Profundidad: mínimo 45 cm Soporte mínimo de 100 kgEstructura metálica en acero. </t>
  </si>
  <si>
    <t>SILLAPLEGABLE_FALABELLA.pdf</t>
  </si>
  <si>
    <t>SILLAPLEGABLE_HOMECENTER.pdf</t>
  </si>
  <si>
    <t>SILLAPLEGABLE_EASY.pdf</t>
  </si>
  <si>
    <t>EASY</t>
  </si>
  <si>
    <t>Carpas 3x3 estructura metálica calibre 18</t>
  </si>
  <si>
    <t>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t>
  </si>
  <si>
    <t>CARPASLEON.pdf</t>
  </si>
  <si>
    <t>CARPAS LEON</t>
  </si>
  <si>
    <t>CARPASEINGENIERIA.pdf</t>
  </si>
  <si>
    <t>CARPAS E INGENIERIA</t>
  </si>
  <si>
    <t>NACIONALDECARPRAS3X3.pdf</t>
  </si>
  <si>
    <t>NACIONAL DE CARPAS</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</si>
  <si>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</si>
  <si>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</si>
  <si>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MESAPEGABLE_FALABELLA.pdf</t>
  </si>
  <si>
    <t>MESAPEGABLE_HOMECENTER.pdf</t>
  </si>
  <si>
    <t>MESAPEGABLE_PLASTIHOGAR.pdf</t>
  </si>
  <si>
    <t>PLASTIHOGAR</t>
  </si>
  <si>
    <t>Mesa de escritorio</t>
  </si>
  <si>
    <t>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t>
  </si>
  <si>
    <t>Armodular_mesaescritorio.pdf</t>
  </si>
  <si>
    <t>ALMODULAR</t>
  </si>
  <si>
    <t>ESCRITORIO_ALKOSTO.pdf</t>
  </si>
  <si>
    <t>ALKOSTO</t>
  </si>
  <si>
    <t>ESCRITORIO_HOMECENTER.pdf</t>
  </si>
  <si>
    <t xml:space="preserve">Silla Ergonómica de escritorio </t>
  </si>
  <si>
    <t>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t>
  </si>
  <si>
    <t>Silla de Oficina Presidente Doha Basculante – Ergonomus CO.pdf</t>
  </si>
  <si>
    <t>ERGONOMUS</t>
  </si>
  <si>
    <t>Silla de Oficina Ergonomus Presidente Doha Basculante Negra ERGONOMUS _ Falabella Colombia.pdf</t>
  </si>
  <si>
    <t>Silla ergonomica economica KAO Económica, Cómoda y Ajustable.pdf</t>
  </si>
  <si>
    <t>KAO</t>
  </si>
  <si>
    <t xml:space="preserve">Silla plástica sin brazos </t>
  </si>
  <si>
    <t xml:space="preserve">Silla plástica sin brazos de polipropileno color blanco, apilable.Resistencia de 130 kg. Alto entre 85 a 89 cm.  Ancho entre 52 a 54 cm.  </t>
  </si>
  <si>
    <t>SILLASINBRAZOS_EXITO.pdf</t>
  </si>
  <si>
    <t>EXITO</t>
  </si>
  <si>
    <t>SILLASINBRAZOS_VANIPLAS.pdf</t>
  </si>
  <si>
    <t>VANYPLAS</t>
  </si>
  <si>
    <t>SILLASINBRAZOS_PLASTIHOGAR.pdf</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</si>
  <si>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</si>
  <si>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</si>
  <si>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TABLEROACRILICO_FALABELLA.pdf</t>
  </si>
  <si>
    <t>TABLEROACRILICO_PANAMERICANA.pdf</t>
  </si>
  <si>
    <t>TABLEROACRILICO_HOMECENTER.pdf</t>
  </si>
  <si>
    <t>Cabina de sonido</t>
  </si>
  <si>
    <t>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t>
  </si>
  <si>
    <t>CABINATRIPODE_SUPERAUDIO.pdf</t>
  </si>
  <si>
    <t>SUPERAUDIO</t>
  </si>
  <si>
    <t>CABINATRIPODE_FALABELLA.pdf</t>
  </si>
  <si>
    <t>CABINATRIPODE_MUSICBOX.pdf</t>
  </si>
  <si>
    <t>MUSIBOX</t>
  </si>
  <si>
    <t>Impresora Multifuncional</t>
  </si>
  <si>
    <t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t>
  </si>
  <si>
    <t>IMPRESORAM_COMPUTADORESBTA.pdf</t>
  </si>
  <si>
    <t>COMPUTADORES BOGOTA</t>
  </si>
  <si>
    <t>IMPRESORAM_OLIMPICA.pdf</t>
  </si>
  <si>
    <t>OLIMPICA</t>
  </si>
  <si>
    <t>IMPRESORAM_KTRONIX.pdf</t>
  </si>
  <si>
    <t>KTRONIX</t>
  </si>
  <si>
    <t>Computador Portátil</t>
  </si>
  <si>
    <t>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t>
  </si>
  <si>
    <t>PORTATIL_HOMECENTER.pdf</t>
  </si>
  <si>
    <t>PORTATIL_KTRONIX.pdf</t>
  </si>
  <si>
    <t>PORTATIL_FALABELLA.pdf</t>
  </si>
  <si>
    <t>Licencia office vitalicia versión hogar (última actualización disponible)</t>
  </si>
  <si>
    <t xml:space="preserve">Licencia vitalicia para office que contenga mínimo: Versiones Word, Excel, PowerPoint   Para instalar y usar en un PC o un Mac y que permita reinstalación en caso de formatear un equipo. Acceso al soporte de Microsoft. </t>
  </si>
  <si>
    <t>Revolution Soft.pdf</t>
  </si>
  <si>
    <t>REVOLUTION STOF</t>
  </si>
  <si>
    <t>OFFICEHOGAR_LANUS.pdf</t>
  </si>
  <si>
    <t>LASUS</t>
  </si>
  <si>
    <t>OFFICEHOGAR_KTRONIX.pdf</t>
  </si>
  <si>
    <t>Regulador de voltaje</t>
  </si>
  <si>
    <t>Regulador electrónico de voltaje de al menos 1200w 2000va.  Material: caja metálica.  Voltaje: 110vac potencia mínima de (w) 1200, corriente (a) 10.9  Posiciones: al menos 4 tomas de salida regulados nema 5-15r</t>
  </si>
  <si>
    <t>REGULADOR_HOMECENTER.pdf</t>
  </si>
  <si>
    <t>REGULADOR_COMPUTECNI.pdf</t>
  </si>
  <si>
    <t>COMPUTECNI</t>
  </si>
  <si>
    <t>REGULADOR_PROINNOVA.pdf</t>
  </si>
  <si>
    <t>PROINNOVA</t>
  </si>
  <si>
    <t xml:space="preserve">Televisor </t>
  </si>
  <si>
    <t>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t>
  </si>
  <si>
    <t>TV_FALABELLA.pdf</t>
  </si>
  <si>
    <t>TV_EXITO.pdf</t>
  </si>
  <si>
    <t>TV_HOMECENTER.pdf</t>
  </si>
  <si>
    <t>Telón para proyector</t>
  </si>
  <si>
    <t>Telón de proyección portátil con trípode ajustable, de mínimo ochenta y cuatro (84) pulgadas, en formato panorámico (16:9), fabricada en tela blanca tipo Flash Mate, Matt White o material equivalente para proyección audiovisual.</t>
  </si>
  <si>
    <t>VTA_TELON.pdf</t>
  </si>
  <si>
    <t>VTA</t>
  </si>
  <si>
    <t>KTRONIX_TELON.pdf</t>
  </si>
  <si>
    <t>TELON_STEREN</t>
  </si>
  <si>
    <t>STEREN</t>
  </si>
  <si>
    <t xml:space="preserve">Video Beam </t>
  </si>
  <si>
    <t>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t>
  </si>
  <si>
    <t>VIDEOBEAM_EPSON.pdf</t>
  </si>
  <si>
    <t>EPSON</t>
  </si>
  <si>
    <t>VIDEOBEAM_VTA.pdf</t>
  </si>
  <si>
    <t>VIDEOBEAM_COMPULAGO.pdf</t>
  </si>
  <si>
    <t>COMPULAGO</t>
  </si>
  <si>
    <t>LUZ JIMENEZ 02/07/2026</t>
  </si>
  <si>
    <t>Corizacion recibida por el estructurador y por el equipo de cotizacion/LUZ JIMENEZ</t>
  </si>
  <si>
    <t>LUZ JIMENEZ 22/06/2026</t>
  </si>
  <si>
    <t>Corizacion recibida por el estructurador/LUZ JIMENEZ</t>
  </si>
  <si>
    <t>ALCALDÍA LOCAL DE SUBA - ESTUDIO DE MERCADO 2026</t>
  </si>
  <si>
    <t>“Prestar los servicios para el fortalecimiento de la Estrategia Local de Cuidado y la promoción de la autonomía económica de las mujeres en la Localidad de Suba”.</t>
  </si>
  <si>
    <t>TOTAL ITEMS</t>
  </si>
  <si>
    <t>TOTAL RECURSO HUMANO</t>
  </si>
  <si>
    <t>PRESUPUESTO OFICIAL</t>
  </si>
  <si>
    <t>Sarita Rico Valdés</t>
  </si>
  <si>
    <t>TOTAL ESTUDIO DE MERCADO</t>
  </si>
  <si>
    <t xml:space="preserve">FORMULADORA </t>
  </si>
  <si>
    <t xml:space="preserve">IRIS PEDRAZA </t>
  </si>
  <si>
    <t>CRUCE DE DATOS</t>
  </si>
  <si>
    <t>VALIDACIÓN</t>
  </si>
  <si>
    <t>Nombre del Elemento</t>
  </si>
  <si>
    <t>Valor IVA / proyección IPC</t>
  </si>
  <si>
    <t>Valor IVA/ IPOCONSUMO</t>
  </si>
  <si>
    <t>NOMBRE</t>
  </si>
  <si>
    <t>DESCRIPCIÓN</t>
  </si>
  <si>
    <t>PROVEEDOR 1</t>
  </si>
  <si>
    <t>VALOR SIN IVA 1</t>
  </si>
  <si>
    <t>PROVEEDOR 2</t>
  </si>
  <si>
    <t>VALOR SIN IVA 2</t>
  </si>
  <si>
    <t>PROVEEDOR 3</t>
  </si>
  <si>
    <t>VALOR SIN IVA 3</t>
  </si>
  <si>
    <t>COEFICIENTE VARIACIÓN</t>
  </si>
  <si>
    <t>TRANSVERSAL</t>
  </si>
  <si>
    <t>Juego Cartas UNO Clásico</t>
  </si>
  <si>
    <t>Juego uno clasico</t>
  </si>
  <si>
    <t xml:space="preserve">Unidad  </t>
  </si>
  <si>
    <t>TIME OFF</t>
  </si>
  <si>
    <t>MUNDIAL JUEGOS</t>
  </si>
  <si>
    <t>EL DON JUEGOS</t>
  </si>
  <si>
    <t xml:space="preserve">Juego de escalera clásico </t>
  </si>
  <si>
    <t xml:space="preserve">Juego de mesa didáctico compuesto por un tablero ilustrado y numerado de forma consecutiva, con casillas que incorporan escaleras y elementos de retroceso, permitiendo avanzar o descender según la casilla en la que se ubique cada participante. Debe incluir como mínimo un tablero de juego, fichas de diferentes colores para las personas participantes, uno o dos dados y las instrucciones de uso. </t>
  </si>
  <si>
    <t>PEPEGANGA</t>
  </si>
  <si>
    <t>TRES ELEFANTES</t>
  </si>
  <si>
    <t>LA GARZA</t>
  </si>
  <si>
    <t xml:space="preserve">Juego de parqués clásico </t>
  </si>
  <si>
    <t>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t>
  </si>
  <si>
    <t>PEPE GANGA</t>
  </si>
  <si>
    <t>Falabella colombia</t>
  </si>
  <si>
    <t xml:space="preserve">Juego de Dominó Clásico </t>
  </si>
  <si>
    <t xml:space="preserve">Dominó profesional caja en madera juego fichas casino grande (broche para giro de fichas) de 28 fichas. Color: Crema. Medidas de la caja: Alto 4,3 cm, fondo 6,5 cm y ancho 18, 5 cm. Medidas de las fichas 4,5 cm x 2,3 cm x 6 mm. </t>
  </si>
  <si>
    <t>MUNDO OLIMPICO</t>
  </si>
  <si>
    <t>EL MACHETICO</t>
  </si>
  <si>
    <t xml:space="preserve">libro de dibujo </t>
  </si>
  <si>
    <t xml:space="preserve">Libro de mándalas para colorear, tapa blanda. Altura 22,5 cm, ancho 22,5 cm, peso 260 g. Cantidad de páginas: 80. Idioma: Español.  </t>
  </si>
  <si>
    <t>mandalas de todo el mundo</t>
  </si>
  <si>
    <t xml:space="preserve">LIBRE DE LA U </t>
  </si>
  <si>
    <t>Paquete de colores x12</t>
  </si>
  <si>
    <t xml:space="preserve">En formato "Jumbo" (gruesos) o de diseño triangular. Estas formas evitan que rueden por la mesa y facilitan un agarre palmar cómodo sin exigir motricidad fina o "pinza" perfecta. </t>
  </si>
  <si>
    <t>FABELL CASTER</t>
  </si>
  <si>
    <t>PANAGRAFO</t>
  </si>
  <si>
    <t xml:space="preserve">LÍNEA DE INTERVENCIÓN 1 - COMPONENTE 1 </t>
  </si>
  <si>
    <t>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t>
  </si>
  <si>
    <t>Servicio de Interpretación (Accesibilidad Universal)</t>
  </si>
  <si>
    <t xml:space="preserve">Con el objetivo de garantizar la accesibilidad universal y el derecho a la información de la población con discapacidad auditiva y sordoceguera, el contratista deberá prever la contratación de servicios profesionales de interpretación. 
Para las actividades presenciales, se exige la vinculación de un dúo de intérpretes de Lengua de Señas Colombiana (LSC) y un dúo de guías-intérpretes para personas sordociegas. La ejecución del servicio se realizará mediante relevos técnicos de veinticinco (25) minutos entre profesionales para asegurar la calidad de la comunicación durante jornadas de tres (3) a cuatro (4) horas (Cuando se requiera). </t>
  </si>
  <si>
    <t xml:space="preserve">Servicios </t>
  </si>
  <si>
    <t>MULTISEÑAS</t>
  </si>
  <si>
    <t>ATMEDIOS</t>
  </si>
  <si>
    <t>PANTOGLOT</t>
  </si>
  <si>
    <t xml:space="preserve">CARTILLA CUÍA IA PARA EMPRENDEDORAS </t>
  </si>
  <si>
    <t>"Impresión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t>
  </si>
  <si>
    <t>GUERRA DE EDITORES</t>
  </si>
  <si>
    <t>Servicio de Licencia (IA)</t>
  </si>
  <si>
    <t>Una plataforma avanzada y unificada de inteligencia artificial que se integra de manera segura en tu ecosistema corporativo (incluyendo Google Workspace, bases de datos internas y aplicaciones de terceros) garantizando mediante controles de grado empresarial. Esta suscripción cubre el acceso por tres (3) meses a modelos multimodales más potentes, almacenamiento ampliado y herramientas de gobernanza administrativa, entregando un entorno seguro para que todo tu equipo colabore. Con esta licencia, los usuarios pueden automatizar flujos de trabajo complejos, resumir y analizar grandes volúmenes de datos cruzados, generar textos, imágenes y presentaciones directamente en aplicaciones como Gmail, Docs, Slides o Sheets, e incluso construir sus propios agentes de IA personalizados sin necesidad de saber programar, centralizando así la operatividad de toda la compañía para resolver problemas de negocio a gran escala.</t>
  </si>
  <si>
    <t xml:space="preserve">GOOGLE </t>
  </si>
  <si>
    <t>GEMINI</t>
  </si>
  <si>
    <t>CHATGPT</t>
  </si>
  <si>
    <t>Refrigerio saludable tipo 1</t>
  </si>
  <si>
    <t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t>
  </si>
  <si>
    <t>TSC ALIMENTOS</t>
  </si>
  <si>
    <t>WLGRUPO EMPRESARIAL</t>
  </si>
  <si>
    <t>ASHER</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</si>
  <si>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</si>
  <si>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 xml:space="preserve"> OPERADOR LOGÍSTICO </t>
  </si>
  <si>
    <t>Servicio de diplomado</t>
  </si>
  <si>
    <t xml:space="preserve">Programa de formación orientado al fortalecimiento de conocimientos y capacidades para impulsar emprendimientos en diferentes temas, algunos de ellos pueden ser:  Educación Financiera, Marketing Digital con IA y Formalización Empresarial. 
El operador debe garantizar que la IES cuente con docentes capacitados para dividir a las 50 mujeres en dos (2) grupos de atención especializada según la madurez de sus negocios (etapa inicial y consolidados), adaptando el nivel técnico de los talleres.
El operador y la IES deben respetar la distribución logística y académica de 32 sesiones, totalizando exactamente cien (100) horas de formación en la medida de lo posible, entendiendo que pueden darse alternativas diferentes para evitar la deserción. 
Cuando se dé una modalidad virtual, el operador y la IES deben garantizar el servicio de Plataforma LMS (Nuevo), el cuál es un entorno virtual de aprendizaje para alojar las grabaciones, foros y material de estudio asincrónico del diplomado. </t>
  </si>
  <si>
    <t>UNIVERSIDAD EAN</t>
  </si>
  <si>
    <t>UTADEO</t>
  </si>
  <si>
    <t>UEXTERNADO</t>
  </si>
  <si>
    <t>LÍNEA DE INTERVENCIÓN 1 - COMPONENTE 2 (BOLSA VIAJE)</t>
  </si>
  <si>
    <t xml:space="preserve">BOLSA LOGÍSTICA Y DE SERVICIOS VIAJE COMERCIAL </t>
  </si>
  <si>
    <t xml:space="preserve">Se dispondrá de una (1) bolsa de viaje destinada a garantizar la participación de cincuenta (50) mujeres y del equipo del contratista, la cual cubrirá los elementos y servicios requeridos para el desarrollo de la actividad, de acuerdo con las necesidades identificadas y tomando como base los precios de referencia establecidos en la oferta económica correspondiente. </t>
  </si>
  <si>
    <t>LÍNEA DE INTERVENCIÓN 1 - COMPONENTE 2</t>
  </si>
  <si>
    <t xml:space="preserve">BOLSA PRESUPUESTAL PARA LA IMPLEMENTACIÓN DE ESTRATEGIAS PUBLICITARIAS Y DIGITALES </t>
  </si>
  <si>
    <t xml:space="preserve">Se dispondrá de una (1) bolsa para producción de contenidos; piezas gráficas; fotografías y recursos audiovisuales; material promocional; herramientas tecnológicas requeridas para la estrategia; espacios publicitarios; pauta digital; plataformas o servicios de difusión y demás recursos directamente asociados a la estrategia comercial. 
Nota: Su estructuración responde a que cada emprendimiento tiene un producto o servicio diferente, públicos objetivo-particulares, niveles distintos de presencia digital y necesidades específicas de fortalecimiento comercial. Por lo anterior, no todas las mujeres requerirán las mismas piezas, plataformas o canales de difusión. La estrategia se definirá a partir de un diagnóstico individual que permita establecer qué red social, canal digital o medio comercial requiere fortalecer cada emprendimiento, qué tipo de contenido necesita y cuál debe ser la intensidad o alcance de la acción publicitaria. </t>
  </si>
  <si>
    <t>LÍNEA DE INTERVENCIÓN 1 - COMPONENTE 3</t>
  </si>
  <si>
    <t>Agenda:  Tamaño cuaderno (21,5 x 14 cm), 80 hojas internas  papel bond 76 gms impresas a una tinta (1x2)  hojas cuadriculadas, tapa dura, full color, plastificada, anillo doble.
Esfero: Bolígrafo plástico tinta negra Medidas: 14.5 cm, con sistema retráctil.</t>
  </si>
  <si>
    <t xml:space="preserve">Bonos canjeables </t>
  </si>
  <si>
    <t xml:space="preserve">Bono canjeable de un almacén de cadena con presencia en el Localidad de Suba por valor de Doscientos Mil pesos ($200.000) incluidos impuestos con una vigencia de un (1) año. Se deja un porcentaje del (3%) a costos indirectos asociados a la compra y entrega de la totalidad de los bonos. 
Nota: El bono podrá ser redimido por alimentos, elementos de aseo y cuidado personal, vestuario y tecnología únicamente. </t>
  </si>
  <si>
    <t xml:space="preserve">LÍNEA DE INTERVENCIÓN 2 - COMPONENTE 1 </t>
  </si>
  <si>
    <t xml:space="preserve">Grupos artísticos locales </t>
  </si>
  <si>
    <t xml:space="preserve">Grupos artísticos de la localidad de Suba, integrado por 4 personas, para hacer intervenciones diarias en diferentes espacios de la localidad de alta afluencia como lo son colegios. Incluye escenografía, vestuario, transporte, diseño y puesta en escena de una obra de teatro de calle (tipo flashmob) con una duración de 15 a 20 minutos, centrada en la redistribución del cuidado (Personaje: Mamá Pulpo). El equipo artístico debe ser de la localidad de Suba. Se requiere por un mes </t>
  </si>
  <si>
    <t xml:space="preserve">KEVIN LEYVA </t>
  </si>
  <si>
    <t>EDUARDO PINILLA</t>
  </si>
  <si>
    <t>Lámina de imán</t>
  </si>
  <si>
    <t xml:space="preserve">Lámina de imán lúdico-pedagógico de comunicación familiar, diseñado para visibilizar la carga de cuidado y promover el relevo de tareas en el hogar. El dispositivo utiliza la simbología universal del semáforo (Rojo, Amarillo y Verde) adaptada con un lenguaje cercano y jocoso para facilitar la negociación del tiempo propio de la cuidadora. </t>
  </si>
  <si>
    <t>ART LAMINAS</t>
  </si>
  <si>
    <t>IMPRIMAYA</t>
  </si>
  <si>
    <t xml:space="preserve">Pin cuadrado 2cm x cm
Material aluminio o acero inoxidable
Cierre mariposa en el mismo material del pin
Diseño personalizado 4x0 </t>
  </si>
  <si>
    <t xml:space="preserve">Pin redondo diámetro 20 mm
Material aluminio o acero inoxidable
Cierre mariposa en el mismo material del pin
Diseño personalizado 4x0 </t>
  </si>
  <si>
    <t xml:space="preserve">OPERADOR LOGÍSTICO </t>
  </si>
  <si>
    <t xml:space="preserve">LÍNEA DE INTERVENCIÓN 2 - COMPONENTE 2 </t>
  </si>
  <si>
    <t xml:space="preserve">Inscripción RUNT </t>
  </si>
  <si>
    <t>El contratista deberá apoyar y pagar la inscripción de las mujeres cuidadoras en el Registro Único Nacional de Tránsito (RUNT) valor del trámite 2026 $22.100</t>
  </si>
  <si>
    <t>AUTOFERRARI</t>
  </si>
  <si>
    <t>CAPITAL DRIVE</t>
  </si>
  <si>
    <t>EDWARCAR</t>
  </si>
  <si>
    <t xml:space="preserve">LICENCIAS DE CONDUCCIÓN CATEGORÍAS A 2  </t>
  </si>
  <si>
    <t>Capacitación técnica integral (curso de conducción) para la obtención de licencia de conducción Categoría A2 (Motocicletas de cualquier cilindraje), bajo la modalidad de 'Todo Costo'. El curso debe cumplir estrictamente con la intensidad horaria y contenidos de la Resolución No. 20223040045305 de 2022 del Ministerio de Transporte (43 horas totales: 25 de formación teórica, 3 de taller de mecánica básica y 15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Control y Vigilancia (SICOV) y la Agencia Nacional de Seguridad Vial (ANSV).
Nota 1: El valor de los derechos del Registro Único Nacional de Tránsito (RUNT) se encuentra costeado de manera independiente.
Nota 2: El valor ofertado debe incluir el costo del examen ante el Centro de Apoyo Logístico de Evaluación (CALE), en caso de que este sea exigible al momento de la ejecución del contrato de conformidad con la normativa vigente
Uso de vehículos de enseñanza (motocicletas),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t>
  </si>
  <si>
    <t>LICENCIAS DE CONDUCCIÓN CATEGORÍAS C1</t>
  </si>
  <si>
    <t>Capacitación técnica integral (curso de conducción) para la obtención de licencia de conducción Categoría C1 (Vehículos de servicio público y particular), bajo la modalidad de 'Todo Costo'. El curso debe cumplir estrictamente con la intensidad horaria y contenidos de la Resolución No. 20223040045305 de 2022 del Ministerio de Transporte (70 horas totales: 35 de formación teórica, 5 de taller de mecánica básica y 30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la Agencia Nacional de Seguridad Vial (ANSV).
Nota 1: El valor de los derechos del Registro Único Nacional de Tránsito (RUNT) se encuentra costeado de manera independiente</t>
  </si>
  <si>
    <t xml:space="preserve">LICENCIAS DE CONDUCCIÓN CATEGORÍAS C2 </t>
  </si>
  <si>
    <t xml:space="preserve">Capacitación técnica integral (curso de conducción) para la obtención de licencia de conducción Categoría C2 (Camiones rígidos, buses y busetas de servicio público), bajo la modalidad de 'Todo Costo'. El curso debe cumplir estrictamente con la intensidad horaria y contenidos establecidos en la Resolución No. 20223040045305 de 2022 (y demás normatividad vigente) del Ministerio de Transporte aplicables a esta categoría (60 horas totales para expedición inicial: 40 de formación teórica, 5 de taller de mecánica básica y 15 de formación práctica; o su equivalente en caso de aplicar recategorización),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(camión rígido, bus o buseta que cumpla con las especificaciones de la categoría C2)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y de la Agencia Nacional de Seguridad Vial (ANSV).
Nota: El valor de los derechos del Registro Único Nacional de Tránsito (RUNT) y de la Secretaría de Movilidad se encuentra costeado de manera independiente. </t>
  </si>
  <si>
    <t>EDWARCARD</t>
  </si>
  <si>
    <t>COSTO DE EXPEDICIÓN LICENCIAS DE CONDUCCIÓN CATEGORÍAS A2</t>
  </si>
  <si>
    <t xml:space="preserve">Expedición de licencias para categorías A2  </t>
  </si>
  <si>
    <t>FERRARI</t>
  </si>
  <si>
    <t xml:space="preserve">COSTO DE EXPEDICIÓN LICENCIAS DE CONDUCCIÓN CATEGORÍAS C1 </t>
  </si>
  <si>
    <t xml:space="preserve">Expedición de licencias para categorías C1 </t>
  </si>
  <si>
    <t xml:space="preserve">COSTO DE EXPEDICIÓN LICENCIAS DE CONDUCCIÓN CATEGORÍAS C2 </t>
  </si>
  <si>
    <t xml:space="preserve">Expedición de licencias para categorías C2 </t>
  </si>
  <si>
    <t>CEA EDWARD</t>
  </si>
  <si>
    <t>BOGOT VIAL</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</si>
  <si>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</si>
  <si>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Impresión a media carta 4 tintas en papel
propalcote o kimberly 200 gr, tamaño 22x28 cm con nombres individuales o espacio para el mismo, refilados.</t>
  </si>
  <si>
    <t xml:space="preserve">LÍNEA DE INTERVENCIÓN 2 COMPONENTE 3 </t>
  </si>
  <si>
    <t>Espacio físico para 50 personas con baño, sillas y mesas, ubicado en la localidad de Suba, con disponibilidad de espacio exterior para desarrollo de actividades
Dotado con equipo de computo, video beam y sonido
Jornada de 4 horas</t>
  </si>
  <si>
    <t>Refrigerio saludable tipo 2</t>
  </si>
  <si>
    <t xml:space="preserve">Sándwich de pollo desmechado (el pollo debe pesar 120 gramos), lechuga, queso y salsas, en pan de orégano, ajo o cualquier otro de tipo artesanal y de alta calidad / Jugo natural en botella / Fruta entera /chocolatina de 11 gramos/ Empaque  tipo maletín </t>
  </si>
  <si>
    <t>INVERSIONES BECORATI</t>
  </si>
  <si>
    <t>YMCA</t>
  </si>
  <si>
    <t>EVENTIK</t>
  </si>
  <si>
    <t>CHAQUETA DE PROTECCIÓN PARA MOTO (ERGONOMÍA FEMENINA) </t>
  </si>
  <si>
    <t xml:space="preserve">Material: Lona HTR 1000 de alta densidad, resistente a la abrasión (antifricción). 
Protecciones: Sistema fijo de protecciones en 5 puntos: hombros, codos, pecho y espalda (material microporosa flexible CE). 
Clima: Interior en tela térmica (ideal para el frío de Bogotá). 
Impermeabilidad: Nivel de protección mínimo del 80% (resistente a lluvia moderada). 
Visibilidad: Membranas reflectivas integradas en pecho, espalda y brazos. 
Ajuste: Correas regulables en cintura y puños para asegurar que las protecciones no se desplacen 
Diferentes tallas. </t>
  </si>
  <si>
    <t>PAMOTEROS</t>
  </si>
  <si>
    <t>MCGENELL</t>
  </si>
  <si>
    <t>KIT DE HERRAMIENTAS BÁSICO PARA MOTO </t>
  </si>
  <si>
    <t>Juego De Herramientas 83 Piezas PRETUL Cuadrante 1/4" - 3/8" Negro
10 Copas 6 puntas 4 mm a 13 mm - 1/4"10 Copas 6 puntas 5/32" a 1/2" - 1/4"8 Copas 6 puntas 5/16" a 3/4" - 3/8"3 Copas 8 puntas 1/4" a 3/8" - 1/4"10 Copas 6 puntas 9 mm a 19 mm - 3/8"1 Rachet - 3/8"1 Extensión 3/8" x 3"1 Copa bujía 5/8" - 3/8"1 Adaptador 3/8" x 1/4"1 Destornillador tipo ratchet - 1/4"1 Adaptador para ratchet1 Adaptador para puntas 2 1/2"8 Llaves bristol 1/16" a 1/4"8 Llaves bristol 1,5 mm a 6 mm3 Puntas pala 3/16" a 9/32"3 Puntas estrella PH1 a PH39 Puntas Cuadradas S1 a S34 puntas torx T10 a T252 Organizadores para llaves bristol</t>
  </si>
  <si>
    <t>Guía de Bolsillo </t>
  </si>
  <si>
    <t xml:space="preserve">LÍNEA DE INTERVENCIÓN 2 - COMPONENTE 4 </t>
  </si>
  <si>
    <t>LÍNEA DE INTERVENCIÓN 2 COMPONENTE 4</t>
  </si>
  <si>
    <t xml:space="preserve">SET DE AGUJAS DE CROHÉ - SET AGUJAS DE CROCHET POR 22 AGUJAS METÁLICAS DE DIVERSOS TAMAÑOS DESDE 0.60 MM HASTA 6.5MM INCLUYE ESTUCHE </t>
  </si>
  <si>
    <t>Set agujas de croché por 22 agujas metálicas  de diversos tamaños desde 0.60 mm hasta 6.5 mm e incluye estuche</t>
  </si>
  <si>
    <t>SOLUCIONES RAES SAS</t>
  </si>
  <si>
    <t>$ 32.941</t>
  </si>
  <si>
    <t>$ 6.259</t>
  </si>
  <si>
    <t>$ 39.200</t>
  </si>
  <si>
    <t>$ 1.647.059</t>
  </si>
  <si>
    <t>$ 1.960.000</t>
  </si>
  <si>
    <t>BROONCRACK</t>
  </si>
  <si>
    <t>$ 35.576</t>
  </si>
  <si>
    <t>$ 6.759</t>
  </si>
  <si>
    <t>$ 42.335</t>
  </si>
  <si>
    <t>$ 1.778.800</t>
  </si>
  <si>
    <t>$ 2.116.772</t>
  </si>
  <si>
    <t>VENTIENDA</t>
  </si>
  <si>
    <t>$ 29.412</t>
  </si>
  <si>
    <t>$ 5.588</t>
  </si>
  <si>
    <t>$ 35.000</t>
  </si>
  <si>
    <t>$ 1.470.588</t>
  </si>
  <si>
    <t>$ 1.750.000</t>
  </si>
  <si>
    <t>$ 38.845</t>
  </si>
  <si>
    <t>$ 1.942.250</t>
  </si>
  <si>
    <t>$ 184.029</t>
  </si>
  <si>
    <t>Lana 6mm antialérgica 100% algodón. Madeja de fibra natural 100% algodón antialérgico de 6 mm de grosor y un peso de 100 gramos. Hebra de textura suave y composición transpirable, disponible en gama de colores variados. </t>
  </si>
  <si>
    <t xml:space="preserve">kit de ganchos y accesorios para tejer al crochet 20 marcadores de puntos de tejido </t>
  </si>
  <si>
    <t xml:space="preserve">20 marcadores de puntos de tejido </t>
  </si>
  <si>
    <t>SEGAFER SAS</t>
  </si>
  <si>
    <t>SOFIA DEL MAR</t>
  </si>
  <si>
    <t>METRO</t>
  </si>
  <si>
    <r>
      <t>especial para trabajos de modistería</t>
    </r>
    <r>
      <rPr>
        <sz val="18"/>
        <rFont val="WordVisiCarriageReturn_MSFontSe"/>
        <charset val="1"/>
      </rPr>
      <t> 
1 metro 
flexible </t>
    </r>
  </si>
  <si>
    <t>PAYSER</t>
  </si>
  <si>
    <t>EL ADORNO</t>
  </si>
  <si>
    <t>LA REAL</t>
  </si>
  <si>
    <t>Maletín portátil para elementos de tejido </t>
  </si>
  <si>
    <r>
      <t>El bolso debe estar diseñado para elementos de tejido.</t>
    </r>
    <r>
      <rPr>
        <sz val="18"/>
        <rFont val="WordVisiCarriageReturn_MSFontSe"/>
        <charset val="1"/>
      </rPr>
      <t> 
Con múltiples bolsillos y compartimentos para guardar hilo, ganchillos, agujas, proyectos sin terminar y otros suministros de costura para tejer. 
El largo debe tener en cuenta que se pueda guardar las agujas de tejido: tejido a dos agujas  </t>
    </r>
  </si>
  <si>
    <t>CTV AGENCIA</t>
  </si>
  <si>
    <t>EPIFANIA</t>
  </si>
  <si>
    <t>LIZAMANUFACTURAS</t>
  </si>
  <si>
    <t>LÍNEA DE INTERVENCIÓN 2 - COMPONENTE 5 (BOLSA)</t>
  </si>
  <si>
    <r>
      <t>BOLSA PRESUPUESTAL HUERTAS CASERAS</t>
    </r>
    <r>
      <rPr>
        <sz val="11"/>
        <color rgb="FF000000"/>
        <rFont val="Garamond"/>
        <charset val="1"/>
      </rPr>
      <t> </t>
    </r>
  </si>
  <si>
    <t xml:space="preserve">Bolsa individual para adecuación e implementación de huertas domiciliarias 
Se dispondrá de una bolsa individual de monto agotable por valor máximo de SETECIENTOS CINCUENTA MIL ($750.000 M/CTE) por cada mujer beneficiaria, destinada exclusivamente a la adquisición de los elementos, materiales e insumos requeridos para la adecuación, instalación y puesta en funcionamiento de su huerta domiciliaria. 
La selección podrá incluir, según las necesidades identificadas, semillas, plántulas, sustratos, compost, contenedores, canastillas, elementos para riego, herramientas de jardinería, estructuras, mallas, polisombras, materiales para compostaje y demás elementos contemplados en el listado técnico aprobado. En ningún caso podrán adquirirse bienes diferentes a los previamente definidos y cotizados, salvo que exista una necesidad técnica debidamente justificada y se surta el procedimiento de aprobación correspondiente. Nota: La asignación de esta bolsa responderá a las condiciones particulares de cada vivienda, por lo cual su ejecución no será uniforme ni automática. Previamente, durante la primera visita domiciliaria, el equipo profesional deberá realizar el levantamiento técnico del espacio disponible, incluyendo medidas, condiciones de iluminación, acceso a agua, tipo de superficie, distribución y demás características relevantes para determinar el tipo de huerta viable en cada hogar. Con base en este diagnóstico, la beneficiaria, acompañada por el equipo técnico, podrá seleccionar los elementos que requiera dentro del listado de bienes, materiales e insumos previamente cotizados, aprobados e incorporados en el estudio de mercado del proceso. </t>
  </si>
  <si>
    <t xml:space="preserve">LÍNEA DE INTERVENCIÓN 2 - COMPONENTE 5 </t>
  </si>
  <si>
    <t>LÍNEA DE INTERVENCIÓN 2 - COMPONENTE 6</t>
  </si>
  <si>
    <t>Gramera Digital  </t>
  </si>
  <si>
    <t>Color: Gris plata o blanco. Forma: Rectangular con plataforma de plástico, cristal templado o acero. Medidas: 20cm x 15cm x 3cm. Detalle: Sensor de alta precisión, capacidad máx 5kg, graduación 1g. Pantalla LCD retroiluminada.  </t>
  </si>
  <si>
    <t>Batidora de Mano  </t>
  </si>
  <si>
    <t>Color: Blanco o Negro con acabados en acero. Forma: Ergonómica con mango antideslizante. Medidas: 19cm x 8cm x 15cm. Detalle: Motor de 250W a 300W, 5 velocidades + función Turbo. Incluye 2 batidores de alambre y 2 ganchos amasadores de acero inoxidable.  </t>
  </si>
  <si>
    <t>JUMBO</t>
  </si>
  <si>
    <t xml:space="preserve">Molde repostería 20cm </t>
  </si>
  <si>
    <t>Color: Gris metálico mate. Forma: Circular cilíndrica de bordes rectos. Medidas: Diámetro: 20cm; altura de 8cm cada uno. Detalle: Aluminio reforzado calibre 18, sin costuras, alta transferencia térmica.  </t>
  </si>
  <si>
    <t>MOLDIALIMENTOS</t>
  </si>
  <si>
    <t>MUNDO HUEVO</t>
  </si>
  <si>
    <t>Molde repostería  24cm</t>
  </si>
  <si>
    <t>Color: Gris metálico mate. Forma: Circular cilíndrica de bordes rectos. Medidas: Diámetro: 24cm; altura de 8cm cada uno. Detalle: Aluminio reforzado calibre 18, sin costuras, alta transferencia térmica.  </t>
  </si>
  <si>
    <t>ALUMINIOS ALFUSA</t>
  </si>
  <si>
    <t>Espátula de Codo  </t>
  </si>
  <si>
    <t>Color: Hoja plata, mango negro. Forma: Hoja de acero con ángulo de quiebre (codo) y punta redondeada. Medidas: Hoja de 8 pulgadas (20cm), largo total 33cm. Detalle: Acero inoxidable flexible, mango de polipropileno texturizado.  </t>
  </si>
  <si>
    <t>PALLOMARO S.A</t>
  </si>
  <si>
    <t>MOLDYALIMENTOS R.C</t>
  </si>
  <si>
    <t>SANTILLANA</t>
  </si>
  <si>
    <t>Kit de Boquillas  </t>
  </si>
  <si>
    <t>Color: Plata. Forma: Cónica con diversos cortes de punta. Medidas: Altura 3cm, base 1.8cm. Detalle: Set x24 boquillas en acero inoxidable 304 (sin costura) + 1 acoplador de plástico ABS reforzado.  </t>
  </si>
  <si>
    <t>ORQUÍDEAS</t>
  </si>
  <si>
    <t>DOTACIONES ROMAIL</t>
  </si>
  <si>
    <t>PALLOMARO</t>
  </si>
  <si>
    <t>Mangas Pasteleras  </t>
  </si>
  <si>
    <t>Color: Transparente. Forma: Triangular (cono). Medidas: 12 pulgadas (30cm de largo). Detalle: Rollo x100 unidades desechables, material polietileno de baja densidad (LDPE) antideslizante por fuera y suave por dentro.  </t>
  </si>
  <si>
    <t>MUNDOHUEVO</t>
  </si>
  <si>
    <t>DULCELELI</t>
  </si>
  <si>
    <t>ORQUÍDEA</t>
  </si>
  <si>
    <t>Termómetro Digital  </t>
  </si>
  <si>
    <t>Color: Negro o Rojo. Forma: Tipo pluma con sonda larga. Medidas: Sonda de 14.5cm, largo total 23cm. Detalle: Rango de -50°C a 300°C. Pantalla digital LCD, lectura en 5 segundos, sonda de acero inoxidable 304.  </t>
  </si>
  <si>
    <t>BODEGON DEL CHEF</t>
  </si>
  <si>
    <t>JABOTS</t>
  </si>
  <si>
    <t>Bowl de Mezcla  </t>
  </si>
  <si>
    <t>Bowl en acero inoxidable de grado alimenticio, con capacidad mínima de 1,5 litros, diámetro aproximado de 16 cm (± 2 cm), elaborado en acero inoxidable resistente a la corrosión, de acabado liso y bordes redondeados para facilitar su limpieza. Debe contar con borde antiderrame o borde reforzado que permita un vertido seguro de líquidos y mezclas, base estable que reduzca el deslizamiento durante su uso, apto para contacto con alimentos, reutilizable, de fácil lavado y desinfección, resistente a impactos y deformaciones ocasionadas por el uso frecuente. El elemento deberá ser nuevo, libre de defectos de fabricación, de primera calidad y cumplir con las condiciones sanitarias aplicables para utensilios destinados al contacto con alimentos.</t>
  </si>
  <si>
    <t>ALAMACENES LA 13</t>
  </si>
  <si>
    <t>ESTRA</t>
  </si>
  <si>
    <t>Batidor de Globo  </t>
  </si>
  <si>
    <t>Color: Plata. Forma: Pera con varillas entrelazadas. Medidas: Largo total 30cm, diámetro del globo 7cm. Detalle: 12 varillas de acero inoxidable de 2mm de grosor, mango sellado higiénico.  </t>
  </si>
  <si>
    <t>Cuchillo de Chef  </t>
  </si>
  <si>
    <t>Color: Hoja plata, mango negro. Forma: Hoja ancha de base curva (tipo alemán). aproximados de medidas: Hoja de 8 pulgadas (20cm), largo total 33cm. Detalle: Acero inoxidable de alto carbono, espiga completa (Full Tang) con remaches de acero.  </t>
  </si>
  <si>
    <t>VICTORIA</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</si>
  <si>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</si>
  <si>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Impresión a media carta 4 tintas en papel  propalcote o kimberly 200 gr, tamaño 22x28 cm con nombres individuales o espacio para el mismo, refilados. </t>
  </si>
  <si>
    <t>Estación de Café tipo 2</t>
  </si>
  <si>
    <t>Servicio de cafetería para 100 personas (tinto, aromática y agua): Operario + presentación mesa + vasos de cartón bebida caliente 4 oz. + mezclador + azúcar + crema para café. Duración del evento aprox. 6 horas. Transporte incluido </t>
  </si>
  <si>
    <t xml:space="preserve">curso de pastelería </t>
  </si>
  <si>
    <t>curso de pastelería con duración entre 30-50 horas presencial que incluya elementos para llevar acabo el curso y cocina para mujeres</t>
  </si>
  <si>
    <t>MARIANO MORENO</t>
  </si>
  <si>
    <t>INSTITUTO COLOMBIANO DE PANADERIA Y PASTELERIA</t>
  </si>
  <si>
    <t>POLITECNICO INTERNACIONAL</t>
  </si>
  <si>
    <t>LÍNEA DE INTERVENCIÓN 1- COMPONENTE 2</t>
  </si>
  <si>
    <t xml:space="preserve">BOLSA DE CAPITALIZACIÓN EN ESPECIE PARA MUJERES EMPRENDEDORAS </t>
  </si>
  <si>
    <t xml:space="preserve">Una (1) bolsa para 50 iniciativas. $150.000.000, equivalente hasta a $3.000.000 por emprendimiento, incluidos impuestos.   Esto elementos están distribuidos en herramientas tecnológicas, maquinaria, equipos, materiales, insumos productivos y elementos pedagógicos para consumo incluido el transporte e impuestos.  
Nota: teniendo en cuenta que cada emprendimiento presenta condiciones, actividades económicas, niveles de desarrollo y necesidades de fortalecimiento diferentes. En consecuencia, no resulta técnicamente procedente predeterminar un mismo conjunto de elementos para todas las beneficiarias, dado que los requerimientos deberán establecerse a partir del diagnóstico y plan de cada emprendedora. </t>
  </si>
  <si>
    <t xml:space="preserve">TRANSVERSAL </t>
  </si>
  <si>
    <r>
      <t>BOLSA TRANSVERSAL PARA MATERIALES Y ELEMENTOS </t>
    </r>
    <r>
      <rPr>
        <sz val="11"/>
        <color rgb="FF000000"/>
        <rFont val="Garamond"/>
        <charset val="1"/>
      </rPr>
      <t> </t>
    </r>
  </si>
  <si>
    <t xml:space="preserve">Se dispondrá de una (1) bolsa destinada a cubrir materiales, insumos y herramientas requeridos para el desarrollo de las actividades pedagógicas, artísticas y prácticas, incluyendo papelería, material didáctico, mapas y cartografías, elementos para simulaciones y trabajo grupal, insumos de crochet, ingredientes y utensilios de repostería, herramientas menores, elementos de medición, almacenamiento, organización y demás recursos definidos en las actividades definidas en los diferentes componentes. 
Nota: la bolsa se requiere debido a que el Anexo Técnico contempla diversas alternativas metodológicas (incluidas ocho (8) metodologías o posibilidades de intervención (de acuerdo con los 8 derechos y actividades diversas en los demás componentes) cuya selección definitiva dependerá de las necesidades territoriales, intereses de las participantes y fichas metodológicas que sean aprobadas durante la ejecución. </t>
  </si>
  <si>
    <t xml:space="preserve">TOTAL DE ITEMS </t>
  </si>
  <si>
    <t>Perfil solicitado Recurso Humano</t>
  </si>
  <si>
    <t>Descripción del perfil - Recurso Humano</t>
  </si>
  <si>
    <t>Tabla Honorarios
o
Cotización</t>
  </si>
  <si>
    <t>Valor unitario (Tabla)</t>
  </si>
  <si>
    <t>Valor total</t>
  </si>
  <si>
    <t xml:space="preserve">Coordinadores (as) Generales del Proyecto. </t>
  </si>
  <si>
    <t xml:space="preserve">FORMACIÓN PROFESIONAL: Profesional en áreas del conocimiento correspondientes a las Ciencias Sociales y Humanas, Ciencias de la Educación, Economía, Administración o disciplinas afines, con título de posgrado en modalidad de especialización relacionado con gerencia de proyectos, gestión de proyectos, administración pública, desarrollo social, políticas públicas, estudios de género o áreas relacionadas con el objeto del contrato.
 EXPERIENCIA PROFESIONAL: 
Mínimo treinta y seis (36) meses de experiencia profesional certificada contados a partir de la obtención del título profesional.
EXPERIENCIA ESPECIFICA: Mínimo doce (12) meses de experiencia certificada como director(a), coordinador(a), gerente o líder de proyectos sociales relacionados con mujeres, enfoque de género, Política Pública de Mujeres y Equidad de Género, economía del cuidado, fortalecimiento de capacidades, autonomía económica, derechos humanos, desarrollo social o programas de carácter comunitario dirigidos a población vulnerable.
</t>
  </si>
  <si>
    <t>Persona</t>
  </si>
  <si>
    <t>Tabla</t>
  </si>
  <si>
    <t xml:space="preserve"> $                                                    -  </t>
  </si>
  <si>
    <t>Profesionales Administrativos(as)</t>
  </si>
  <si>
    <t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doce (12) meses de experiencia profesional certificada contados a partir de la expedición de la tarjeta profesional cuando aplique o de la terminación y aprobación del pensum académico, conforme a la normativa vigente.
EXPERIENCIA ESPECÍFICA: Mínimo seis (6) meses de experiencia certificada en actividades de apoyo administrativo, operativo, técnico o de gestión en proyectos sociales, educativos, comunitarios o institucionales relacionados con temas de género, autonomía económica, fortalecimiento de capacidades, participación comunitaria, derechos humanos, Política Pública de Mujeres y Equidad de Género, economía del cuidado o programas sociales dirigidos a población vulnerable.
</t>
  </si>
  <si>
    <t>Auxiliares logísticos</t>
  </si>
  <si>
    <t>FORMACIÓN ACADÉMICA: Título bachiller debidamente certificado.
EXPERIENCIA LABORAL: Mínimo doce (12) meses de experiencia laboral certificada.
EXPERIENCIA ESPECIFICA: Mínimo doce (12) meses de experiencia relacionada con la organización y apoyo logístico de eventos, actividades comunitarias, jornadas de atención a la ciudadanía, procesos de formación, proyectos sociales, culturales, educativos o institucionales.</t>
  </si>
  <si>
    <t>Diseñador(a) Gráfico(a)</t>
  </si>
  <si>
    <t xml:space="preserve">FORMACIÓN PROFESIONAL: Profesional en Diseño Gráfico, Diseño Visual, Comunicación Gráfica, Publicidad, Comunicación Social con énfasis en diseño, Mercadeo o disciplinas afines pertenecientes a las áreas del conocimiento de Comunicación, Periodismo y Publicidad, Bellas Artes y/o Diseño, de conformidad con los Núcleos Básicos del Conocimiento reconocidos por el Ministerio de Educación Nacional.
EXPERIENCIA PROFESIONAL: Mínimo doce (12) meses de experiencia profesional certificada contados a partir de la obtención del título profesional.EXPERIENCIA ESPECÍFICA: Mínimo seis (6) meses de experiencia certificada en diseño, diagramación, producción de piezas gráficas, campañas de comunicación, material pedagógico, estrategias de divulgación, proyectos sociales, comunitarios, educativos o institucionales.
</t>
  </si>
  <si>
    <t>Gestores territoriales</t>
  </si>
  <si>
    <t xml:space="preserve">Gestores territoriales	FORMACIÓN ACADÉMICA: Bachiller académico debidamente certificado. 
EXPERIENCIA: No requiere experiencia específica.	12
(Dos por cada UPL)	1 mes
</t>
  </si>
  <si>
    <t>Coordinador(a) académica</t>
  </si>
  <si>
    <t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veinticuatro (24) meses de experiencia profesional certificada contados a partir de la obtención del título profesional.  
EXPERIENCIA ESPECIFICA: Mínimo doce (12) meses de experiencia certificada en coordinación académica, diseño curricular, ejecución o seguimiento de procesos de formación, capacitación o fortalecimiento dirigidos a mujeres, comunidades, organizaciones sociales o población vulnerable, en temas relacionados con enfoque de género, autonomía económica, emprendimiento, derechos humanos, participación ciudadana, Política Pública de Mujeres y Equidad de Género o desarrollo social.
</t>
  </si>
  <si>
    <t>Profesional Logístico y de Coordinación</t>
  </si>
  <si>
    <t xml:space="preserve">FORMACIÓN PROFESIONAL: Profesional en Administración de Empresas, Administración Turística y Hotelera, Ingeniería Industrial, Negocios Internacionales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ESPECÍFICA: Mínimo doce (12) meses de experiencia certificada en coordinación logística, planeación, organización y ejecución de eventos, encuentros comerciales, ruedas de negocio, ferias, salidas pedagógicas, misiones comerciales, actividades turísticas grupales o proyectos sociales con componentes de movilización y atención a población. 
Alternativamente, podrá acreditar participación en mínimo dos (2) proyectos en los que haya desempeñado funciones de coordinación logística, organización operativa o ejecución de actividades similares a las requeridas en el presente componente.
</t>
  </si>
  <si>
    <t xml:space="preserve">Auxiliar en enfermería </t>
  </si>
  <si>
    <t xml:space="preserve">FORMACIÓN PROFESIONAL: Título técnico laboral en enfermería perteneciente al Núcleo Básico del Conocimiento en Enfermería, con tarjeta profesional vigente cuando aplique y registro activo en el Registro Único Nacional del Talento Humano en Salud (RETHUS).
EXPERIENCIA PROFESIONAL: Mínimo seis (06)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
  </si>
  <si>
    <t xml:space="preserve"> $ 3.224.001,00 </t>
  </si>
  <si>
    <t xml:space="preserve">Coordinador(a) de Estrategia Publicitaria y Digital  </t>
  </si>
  <si>
    <t xml:space="preserve">FORMACIÓN PROFESIONAL: Profesional en Publicidad, Mercadeo y Publicidad, Comunicación Social con énfasis en publicidad, medios digitales o comunicación estratégica, Mercadeo, Marketing Digital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EXPECIFICA: Mínimo nueve (9) meses de experiencia certificada en la coordinación, formulación, ejecución, seguimiento o medición de campañas publicitarias, estrategias de comunicación, posicionamiento de marca, marketing digital o campañas comerciales.
Es indispensable que certifique la integración de estrategias físicas (OOH, BTL, material POP, PAUTA DIGITAL) con ecosistemas digitales, tales como landing pages, pauta segmentada y embudos de conversión a canales directos como WhatsApp.
</t>
  </si>
  <si>
    <t xml:space="preserve">FORMACIÓN PROFESIONAL:  Profesional en Diseño Gráfico, Diseño Visual, Publicidad,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EXPECIFICA: Mínimo seis (6) meses de experiencia certificada en diseño gráfico, desarrollo de piezas publicitarias, producción de material POP, estrategias BTL, campañas de comunicación, contenido para medios digitales, redes sociales, landing pages o proyectos de posicionamiento comercial y visibilización de productos o servicios
</t>
  </si>
  <si>
    <t>Comunicador(a) Social o Publicista</t>
  </si>
  <si>
    <t xml:space="preserve">FORMACIÓN PROFESIONAL: 
Profesional en Comunicación Social, Publicidad, Comunicación Estratégica,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ESPECIFICA: Mínimo seis (6) meses de experiencia certificada en formulación, implementación o acompañamiento de estrategias de comunicación (OOH, BTL, material POP), campañas institucionales, publicidad, marketing digital, posicionamiento de marca, comunicación comunitaria o promoción comercial.
</t>
  </si>
  <si>
    <t>Redactor(a)</t>
  </si>
  <si>
    <t xml:space="preserve">FORMACIÓN PROFESIONAL:  Profesional en Comunicación Social, Periodismo, Literatura, Lingüística,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redacción de contenidos, copywriting, creación de mensajes publicitarios, elaboración de contenidos para campañas institucionales (OOH, BTL, material POP), medios digitales, material pedagógico, páginas web, redes sociales o estrategias de comunicación comercial.
</t>
  </si>
  <si>
    <t>Web Master</t>
  </si>
  <si>
    <t xml:space="preserve">FORMACIÓN PROFESIONAL: Profesional en Ingeniería de Sistemas, Ingeniería de Software, Ingeniería Telemática, Ingeniería Informática, Diseño Multimedia, Diseño Visual con énfasis digital o disciplinas afines reconocidas por el Ministerio de Educación Nacional. 
EXPERIENCIA PROFESIONAL: Mínimo dieciocho (18) meses de experiencia profesional certificada contados a partir de la obtención del título profesional.
EXPERIENCIA ESPECÍFICA: Mínimo seis (6) meses de experiencia certificada en desarrollo, administración, mantenimiento o soporte de sitios web, landing pages, gestores de contenido (CMS), plataformas digitales, alojamiento web, administración de dominios, herramientas de analítica digital o ecosistemas de captación y conversión digital.
</t>
  </si>
  <si>
    <t xml:space="preserve">LÍNEA DE INTERVENCIÓN 1 - COMPONENTE 4 </t>
  </si>
  <si>
    <t xml:space="preserve">Docente y/o Formador (a) para los Circuitos de Derechos </t>
  </si>
  <si>
    <t>FORMACIÓN ACADÉMICA: Profesional en áreas del conocimiento correspondientes a las Ciencias Sociales y Humanas, Ciencias de la Educación, Derecho, Ciencia Política, Trabajo Social, Psicología, Economía, Administración, Bellas Artes o disciplinas afines reconocidas por el Ministerio de Educación Nacional.  
EXPERIENCIA PROFESIONAL: Mínimo dieciocho (18)  meses de experiencia profesional certificada contados a partir de la terminación y aprobación del pensum académico o de la obtención del título profesional o de la tarjeta profesional cuando aplique, conforme a la normativa vigente. 
EXPERIENCIA ESPECÍFICA: Mínimo doce (12) meses de experiencia certificada en la facilitación de talleres, formación comunitaria, implementación de estrategias pedagógicas, acciones de promoción de derechos, exigibilidad de derechos, enfoque de género, Política Pública de Mujeres y Equidad de Género, prevención de violencias basadas en género o fortalecimiento de procesos organizativos de mujeres.</t>
  </si>
  <si>
    <t xml:space="preserve">Técnico(a) en áreas de la salud – Relevo del Cuidado </t>
  </si>
  <si>
    <t xml:space="preserve">FORMACIÓN ACADÉMICA:  
Técnico o Tecnólogo en áreas de las Ciencias de la Salud, Ciencias de la Educación, Atención Integral a la Primera Infancia, Atención a Personas con Discapacidad, Auxiliar de Enfermería, Atención Psicosocial, Pedagogía, Educación Especial o disciplinas afines. EXPERIENCIA PROFESIONAL: Mínimo veinticuatro (24)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También será válida la experiencia en proyectos sociales, educativos, comunitarios o institucionales que incluyan acciones de relevo de cuidado, acompañamiento psicosocial, inclusión social, participación comunitaria o fortalecimiento de capacidades para población vulnerable. 
</t>
  </si>
  <si>
    <t xml:space="preserve">LÍNEA DE INTERVENCIÓN 2 - TRANSVERSAL </t>
  </si>
  <si>
    <t>Profesional de Gestión Social en Psicología</t>
  </si>
  <si>
    <t xml:space="preserve">FORMACIÓN ACADÉMICA: Profesional en Psicología, de conformidad con los Núcleos Básicos de Conocimiento reconocidos por el Ministerio de Educación Nacional. 
FORMACIÓN POSGRADUAL: Especialización en Estudios de Género, Derechos Humanos, Intervención Social, Psicología Comunitaria, Psicología Social, Políticas Públicas, Desarrollo Humano o áreas afines.
EXPERIENCIA PROFESIONAL: Mínimo dieciocho (18) meses de experiencia profesional certificada contados a partir de la expedición de la tarjeta profesional. 
EXPERIENCIA ESPECÍFICA: Mínimo doce (12) meses de experiencia certificada en la implementación, acompañamiento o fortalecimiento de procesos relacionados con la Política Pública de Mujeres y Equidad de Género (PPMYEG), el Sistema Distrital de Cuidado (SIDICU), enfoque de género, economía del cuidado, prevención de violencias basadas en género, derechos humanos de las mujeres, participación comunitaria, fortalecimiento de capacidades, intervención psicosocial o proyectos dirigidos a mujeres y población vulnerable. 
</t>
  </si>
  <si>
    <t>LÍNEA DE INTERVENCIÓN 2 - COMPONENTE 1</t>
  </si>
  <si>
    <t>Instructor Pedagógico.</t>
  </si>
  <si>
    <t xml:space="preserve">FORMACIÓN ACADÉMICA: Profesional en Licenciatura en Diseño Tecnológico, Pedagogía, Educación, Comunicación Social, Diseño Digital, Diseño Gráfico, Diseño Visual, Tecnología Educativa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diseño instruccional, diseño pedagógico, elaboración de materiales educativos, guiones metodológicos, contenidos formativos, recursos pedagógicos impresos o digitales, producción de material audiovisual educativo, herramientas de aprendizaje o estrategias de educación comunitaria.
</t>
  </si>
  <si>
    <t>LÍNEA DE INTERVENCIÓN 2 - COMPONENTE 3</t>
  </si>
  <si>
    <t>Instructor(a) Líder de Mecánica y Seguridad Vial</t>
  </si>
  <si>
    <t xml:space="preserve">FORMACIÓN ACADÉMICA: Técnico Automotriz, Mantenimiento Automotriz, Alineación y Balanceo o disciplinas afines pertenecientes a los Núcleos Básicos de Conocimiento reconocidos por el Ministerio de Educación Nacional.
Preferiblemente MUJER*.
EXPERIENCIA PROFESIONAL: Mínimo doce (12) meses de experiencia laboral certificada en actividades relacionadas con mecánica automotriz, mantenimiento preventivo y correctivo de vehículos, formación técnica o capacitación en temas asociados al sector automotor.
EXPERIENCIA ESPECÍFICA: Mínimo seis (6) meses de experiencia certificada como instructor(a), docente, capacitador(a), facilitador(a) o tallerista en temas relacionados con mecánica básica automotriz, mantenimiento preventivo, seguridad vial, conducción segura o educación vial. 
</t>
  </si>
  <si>
    <t>Monitor(a) de Apoyo Técnico</t>
  </si>
  <si>
    <t xml:space="preserve">FORMACIÓN ACADÉMICA: Técnico(a) o estudiante que haya aprobado como mínimo el sesenta por ciento (60%) del plan de estudios en programas de Mecánica Automotriz, Ingeniería Mecánica, Mecánica de Motocicletas, Mantenimiento Automotriz, Tecnologías del Sector Automotor, Seguridad Vial o áreas afines.
EXPERIENCIA GENERAL: Mínimo seis (6) meses de experiencia laboral certificada.
EXPERIENCIA ESPECÍFICA: Mínimo seis (6) meses de experiencia certificada relacionada con mantenimiento preventivo y correctivo de motocicletas, apoyo a procesos de formación en mecánica básica, asistencia técnica en talleres automotrices, conducción segura o actividades relacionadas con el sector automotor.
</t>
  </si>
  <si>
    <t>LÍNEA DE INTERVENCIÓN 2 - COMPONENTE 4</t>
  </si>
  <si>
    <t>Instructora de Crochet</t>
  </si>
  <si>
    <t xml:space="preserve">FORMACIÓN ACADÉMICA: Mujer con formación certificada, conocimientos demostrables o experiencia acreditada en tejido crochet, tejido a dos agujas, telar u otras técnicas afines de tejido artesanal.
EXPERIENCIA GENERAL: Mínimo dos (2) años de experiencia certificada en actividades relacionadas con tejido crochet, tejido artesanal, elaboración de productos textiles artesanales o formación en técnicas de tejido. 
EXPERIENCIA ESPECÍFICA: Mínimo doce (12) meses de experiencia certificada como instructora, tallerista, formadora, facilitadora o capacitadora en procesos de enseñanza de tejido crochet o técnicas afines, preferiblemente con población adulta, mujeres, grupos comunitarios u organizaciones sociales.
</t>
  </si>
  <si>
    <t>LÍNEA DE INTERVENCIÓN 2 - COMPONENTE 5</t>
  </si>
  <si>
    <t>Instructora de Huertas Urbanas</t>
  </si>
  <si>
    <t xml:space="preserve">FORMACIÓN ACADÉMICA: Profesional en Ingeniería Agroecológica, Ingeniería Agronómica, Ingeniería Agrícola, Ingeniería Forestal, Administración Ambiental, Ingeniería Ambiental o disciplinas afines relacionadas con sistemas productivos sostenibles, agricultura urbana y seguridad alimentaria. 
EXPERIENCIA PROFESIONAL: Mínimo doce (12) meses de experiencia profesional certificada contados a partir de la obtención del título profesional. 
EXPERIENCIA ESPECÍFICA: Mínimo seis (6) meses de experiencia certificada en procesos relacionados con agricultura urbana, huertas caseras, agroecología, producción de alimentos a pequeña escala, manejo de sustratos, compostaje, control fitosanitario sostenible, extensión rural, educación ambiental o fortalecimiento de capacidades comunitarias. 
Se valorará experiencia en procesos de formación, capacitación o acompañamiento pedagógico con mujeres, organizaciones sociales, población vulnerable o comunidades urbanas y rurales.
</t>
  </si>
  <si>
    <t>Técnica de Instalación y Soporte para Huertas Urbanas</t>
  </si>
  <si>
    <t xml:space="preserve">FORMACIÓN ACADÉMICA: Técnico o Tecnólogo en Construcción, Mantenimiento de Edificaciones, Obras Civiles, Ebanistería, Carpintería, Jardinería, Producción Agropecuaria, Agricultura Urbana o áreas afines. 
EXPERIENCIA GENERAL: Mínimo doce (12) meses de experiencia laboral certificada en actividades relacionadas con instalación, mantenimiento, adecuación de espacios, montaje de estructuras, servicios generales, jardinería o actividades afines. 
EXPERIENCIA ESPECÍFICA: Mínimo seis (6) meses de experiencia certificada en instalación de estructuras livianas, montaje de sistemas para agricultura urbana, adecuación de espacios productivos, jardines, huertas, viveros o actividades similares. 
Se valorará experiencia en trabajo comunitario y acompañamiento a proyectos sociales o ambientales.
</t>
  </si>
  <si>
    <t>Auxiliar de Cocina y Apoyo Operativo</t>
  </si>
  <si>
    <t xml:space="preserve">FORMACIÓN ACADÉMICA: Bachiller, Técnico Laboral o Técnico en Cocina, Gastronomía, Manipulación de Alimentos o áreas afines. 
EXPERIENCIA GENERAL: Mínimo doce (12) meses de experiencia certificada en preparación de alimentos, apoyo en cocina, repostería o logística de procesos formativos gastronómicos.  
EXPERIENCIA ESPECÍFICA: Mínimo seis (6) meses en apoyo a actividades de cocina, panadería, repostería o procesos de capacitación gastronómica.
</t>
  </si>
  <si>
    <t>Total Recurso Humano</t>
  </si>
  <si>
    <t>ALCALDÍA LOCAL DE SUBA - FORMATO DE VALORES UNITARIOS</t>
  </si>
  <si>
    <t xml:space="preserve">OCULTAR ESTAS COLUMNAS EN EL MOMENTO DE PUBLICAR Y COLOCARLE CLAVE A LA HOJA!!! SON PARA LA EVALUACIÓN TÉCNICA </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</si>
  <si>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</si>
  <si>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</si>
  <si>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</si>
  <si>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</si>
  <si>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</si>
  <si>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</si>
  <si>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</si>
  <si>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</si>
  <si>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</si>
  <si>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</si>
  <si>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</si>
  <si>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</si>
  <si>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DIFERENCIA VALOR UNITARIO INCLUIDO IVA</t>
  </si>
  <si>
    <t>DIFERENCIA VALOR TOTAL</t>
  </si>
  <si>
    <t>NO MODIFICABLE</t>
  </si>
  <si>
    <t>TOTAL ÍTEMS</t>
  </si>
  <si>
    <t>NOMBRE DEL REPRESENTANTE LEGAL</t>
  </si>
  <si>
    <t>NOMBRE DE LA EMPRESA</t>
  </si>
  <si>
    <t>DIRECCION</t>
  </si>
  <si>
    <t>TELEFONOS DE CONTACTO</t>
  </si>
  <si>
    <t xml:space="preserve">SARITA RICO VALDÉS </t>
  </si>
  <si>
    <t>Bitácora Experiencial y Guía Impresa</t>
  </si>
  <si>
    <t xml:space="preserve">Formatos impresos en blanco y negro, tamaño carta, en papel ecológico (reciclado, residuos agroindustriales y/o fuentes forestales sostenibles), impresión a doble cara. 
Nota: Esto refiere a guías impresas adaptadas como bitácoras de campo. Deberá incluir la estructura para documentar ventajas, desventajas, mapeo de ferias y contactos comerciales. Diseño realizado por el Contratista, previa aprobación en comité técnico. </t>
  </si>
  <si>
    <t>IMPIRNCO</t>
  </si>
  <si>
    <t>IMPRINCO</t>
  </si>
  <si>
    <t>JOS</t>
  </si>
  <si>
    <t>Tiquetes aéreos BOG-MDE-BOG</t>
  </si>
  <si>
    <t>Tiquetes aéreos ida y regreso a Medellín.</t>
  </si>
  <si>
    <t>AVIANCA</t>
  </si>
  <si>
    <t>JETSMART</t>
  </si>
  <si>
    <t>LATAM</t>
  </si>
  <si>
    <t xml:space="preserve">Hospedaje todo incluido  </t>
  </si>
  <si>
    <t xml:space="preserve">Hospedaje para 5 días 4 noches el espacio de alojamiento debe cumplir con las condiciones necesarias para el hospedaje descritas en el anexo, un servicio de desayuno, y el desarrollo de las actividades planteadas.  </t>
  </si>
  <si>
    <t>BLU INN</t>
  </si>
  <si>
    <t>UNICENTRO</t>
  </si>
  <si>
    <t xml:space="preserve">Póliza médica de viaje  </t>
  </si>
  <si>
    <t xml:space="preserve">Póliza de viaje con coberturas mínimas: gastos médicos, quirúrgicos, farmacéuticos y hospitalarios por accidente; traslado médico de emergencia; y muerte accidental o desmembración.  </t>
  </si>
  <si>
    <t>SEGUROS DEL ESTADO</t>
  </si>
  <si>
    <t>SURA</t>
  </si>
  <si>
    <t>Cena</t>
  </si>
  <si>
    <t>Servicio de alimentación (cena servida) por persona, que incluya como mínimo: una (1) entrada, sopa (mín. 250 ml) o porción de fruta (mín. 100 g); un (1) plato fuerte con proteína de res, cerdo, pollo o pescado (mín. 150 g en cocido); un (1) carbohidrato o guarnición (mín. 120 g); una (1) ensalada o acompañamiento (mín. 80 g); un (1) postre (mín. 80 g) y una (1) bebida (mín. 250 ml). El servicio incluye el suministro, la preparación y la distribución de los alimentos; el menaje necesario (platos, vasos, cubiertos, manteles y servilletas); los elementos para mantener los alimentos a temperatura adecuada (samovares o equivalentes); el personal de atención y servicio, y el transporte hasta el sitio del evento.</t>
  </si>
  <si>
    <t>CORMECAV</t>
  </si>
  <si>
    <t>SHEJINA</t>
  </si>
  <si>
    <t>REINPREASER</t>
  </si>
  <si>
    <t>ALMUERZO TIPO 1</t>
  </si>
  <si>
    <t>CATERING DEPOT</t>
  </si>
  <si>
    <t xml:space="preserve">TOTAL DE ITEMS  BOLSA PRESUPUESTAL DEL VIAJE </t>
  </si>
  <si>
    <t>D</t>
  </si>
  <si>
    <t>SARITA RICO VALDÉS</t>
  </si>
  <si>
    <t>Semilla de Quinoa </t>
  </si>
  <si>
    <t>Bolsa de semillas X 50GR </t>
  </si>
  <si>
    <t xml:space="preserve">JUNTOS DE LA MANO </t>
  </si>
  <si>
    <t xml:space="preserve"> $                          3.900,00</t>
  </si>
  <si>
    <t xml:space="preserve"> $                         3.900</t>
  </si>
  <si>
    <t xml:space="preserve"> $                                      3.900</t>
  </si>
  <si>
    <t>MYCBDE</t>
  </si>
  <si>
    <t xml:space="preserve"> $                          4.200,00</t>
  </si>
  <si>
    <t xml:space="preserve"> $                           4.200,00</t>
  </si>
  <si>
    <t xml:space="preserve"> $                             4.200,00</t>
  </si>
  <si>
    <t>DAGROW</t>
  </si>
  <si>
    <t xml:space="preserve"> $                          4.000,00</t>
  </si>
  <si>
    <t xml:space="preserve"> $                           4.000,00</t>
  </si>
  <si>
    <t xml:space="preserve"> $                             4.000,00</t>
  </si>
  <si>
    <t xml:space="preserve"> $                                4.033,33</t>
  </si>
  <si>
    <t xml:space="preserve"> $                                     4.033,33</t>
  </si>
  <si>
    <t xml:space="preserve"> $                                      152,75</t>
  </si>
  <si>
    <t>Semilla de Apio </t>
  </si>
  <si>
    <t>Bolsa de semillas X 2GR </t>
  </si>
  <si>
    <t xml:space="preserve"> $                          4.100,00</t>
  </si>
  <si>
    <t xml:space="preserve"> $                         4.100</t>
  </si>
  <si>
    <t xml:space="preserve"> $                                      4.100</t>
  </si>
  <si>
    <t xml:space="preserve"> $                          3.500,00</t>
  </si>
  <si>
    <t xml:space="preserve"> $                           3.500,00</t>
  </si>
  <si>
    <t xml:space="preserve"> $                             3.500,00</t>
  </si>
  <si>
    <t xml:space="preserve"> $                                3.866,67</t>
  </si>
  <si>
    <t xml:space="preserve"> $                                     3.866,67</t>
  </si>
  <si>
    <t xml:space="preserve"> $                                      321,46</t>
  </si>
  <si>
    <t>Semilla de Tomate Cherry </t>
  </si>
  <si>
    <t>Bolsa de semillas X 30 unidades o 0,3 GR </t>
  </si>
  <si>
    <t xml:space="preserve"> $                          3.800,00</t>
  </si>
  <si>
    <t xml:space="preserve"> $                           3.800,00</t>
  </si>
  <si>
    <t xml:space="preserve"> $                             3.800,00</t>
  </si>
  <si>
    <t xml:space="preserve"> $                                3.733,33</t>
  </si>
  <si>
    <t xml:space="preserve"> $                                     3.733,33</t>
  </si>
  <si>
    <t xml:space="preserve"> $                                      208,17</t>
  </si>
  <si>
    <t>Semilla Guascas </t>
  </si>
  <si>
    <t xml:space="preserve"> $                       16.000,00</t>
  </si>
  <si>
    <t xml:space="preserve"> $                      16.000</t>
  </si>
  <si>
    <t xml:space="preserve"> $                                   16.000</t>
  </si>
  <si>
    <t xml:space="preserve"> $                       15.000,00</t>
  </si>
  <si>
    <t xml:space="preserve"> $                         15.000,00</t>
  </si>
  <si>
    <t xml:space="preserve"> $                          15.000,00</t>
  </si>
  <si>
    <t xml:space="preserve"> $                       10.504,20</t>
  </si>
  <si>
    <t xml:space="preserve"> $                1.995,80</t>
  </si>
  <si>
    <t xml:space="preserve"> $                       12.500,00</t>
  </si>
  <si>
    <t xml:space="preserve"> $                         10.504,20</t>
  </si>
  <si>
    <t xml:space="preserve"> $                          12.500,00</t>
  </si>
  <si>
    <t xml:space="preserve"> $                             14.500,00</t>
  </si>
  <si>
    <t xml:space="preserve"> $                                  14.500,00</t>
  </si>
  <si>
    <t xml:space="preserve"> $                                  1.802,78</t>
  </si>
  <si>
    <t>Semilla de Kale </t>
  </si>
  <si>
    <t>Bolsa de semillas X 2 GR </t>
  </si>
  <si>
    <t xml:space="preserve"> $                          3.700,00</t>
  </si>
  <si>
    <t xml:space="preserve"> $                         3.700</t>
  </si>
  <si>
    <t xml:space="preserve"> $                                      3.700</t>
  </si>
  <si>
    <t xml:space="preserve"> $                                3.666,67</t>
  </si>
  <si>
    <t xml:space="preserve"> $                                     3.666,67</t>
  </si>
  <si>
    <t>Semilla de Albahaca Morada </t>
  </si>
  <si>
    <t>Bolsa de semillas X 0,5 GR </t>
  </si>
  <si>
    <t xml:space="preserve"> $                                4.100,00</t>
  </si>
  <si>
    <t xml:space="preserve"> $                                     4.100,00</t>
  </si>
  <si>
    <t xml:space="preserve"> $                                      100,00</t>
  </si>
  <si>
    <t>Semilla de Alverja (Pisum sativum) </t>
  </si>
  <si>
    <t>Paquete de semillas x Kilo / Libra  </t>
  </si>
  <si>
    <t xml:space="preserve"> $                       15.500,00</t>
  </si>
  <si>
    <t xml:space="preserve"> $                      15.500</t>
  </si>
  <si>
    <t xml:space="preserve"> $                                   15.500</t>
  </si>
  <si>
    <t xml:space="preserve"> $                       14.000,00</t>
  </si>
  <si>
    <t xml:space="preserve"> $                         14.000,00</t>
  </si>
  <si>
    <t xml:space="preserve"> $                          14.000,00</t>
  </si>
  <si>
    <t>MARK</t>
  </si>
  <si>
    <t xml:space="preserve"> $                       16.806,72</t>
  </si>
  <si>
    <t xml:space="preserve"> $                3.193,28</t>
  </si>
  <si>
    <t xml:space="preserve"> $                       20.000,00</t>
  </si>
  <si>
    <t xml:space="preserve"> $                         16.806,72</t>
  </si>
  <si>
    <t xml:space="preserve"> $                          20.000,00</t>
  </si>
  <si>
    <t xml:space="preserve"> $                             16.500,00</t>
  </si>
  <si>
    <t xml:space="preserve"> $                                  16.500,00</t>
  </si>
  <si>
    <t xml:space="preserve"> $                                  3.122,50</t>
  </si>
  <si>
    <t>Plántula de brócoli </t>
  </si>
  <si>
    <t>Buenas condiciones sanitarias, de 6 a 10 cm de alto en bolsa negra con tierra negra </t>
  </si>
  <si>
    <t>AGRIPLANT</t>
  </si>
  <si>
    <t xml:space="preserve"> $                          1.500,00</t>
  </si>
  <si>
    <t xml:space="preserve"> $                         1.500</t>
  </si>
  <si>
    <t xml:space="preserve"> $                                      1.500</t>
  </si>
  <si>
    <t>SEMBRAMOS VIVEROS ONLINE</t>
  </si>
  <si>
    <t xml:space="preserve"> $                          1.200,00</t>
  </si>
  <si>
    <t xml:space="preserve"> $                     228,00</t>
  </si>
  <si>
    <t xml:space="preserve"> $                          1.428,00</t>
  </si>
  <si>
    <t xml:space="preserve"> $                           1.200,00</t>
  </si>
  <si>
    <t xml:space="preserve"> $                             1.428,00</t>
  </si>
  <si>
    <t>PAQUA</t>
  </si>
  <si>
    <t xml:space="preserve"> $                          1.800,00</t>
  </si>
  <si>
    <t xml:space="preserve"> $                           1.800,00</t>
  </si>
  <si>
    <t xml:space="preserve"> $                             1.800,00</t>
  </si>
  <si>
    <t xml:space="preserve"> $                                1.576,00</t>
  </si>
  <si>
    <t xml:space="preserve"> $                                     1.576,00</t>
  </si>
  <si>
    <t xml:space="preserve"> $                                      197,30</t>
  </si>
  <si>
    <t>Plántula de cebolla puerro </t>
  </si>
  <si>
    <t xml:space="preserve"> $                              220,00</t>
  </si>
  <si>
    <t xml:space="preserve"> $                             220</t>
  </si>
  <si>
    <t xml:space="preserve"> $                                          220</t>
  </si>
  <si>
    <t xml:space="preserve"> $                              200,00</t>
  </si>
  <si>
    <t xml:space="preserve"> $                       38,00</t>
  </si>
  <si>
    <t xml:space="preserve"> $                              238,00</t>
  </si>
  <si>
    <t xml:space="preserve"> $                               200,00</t>
  </si>
  <si>
    <t xml:space="preserve"> $                                 238,00</t>
  </si>
  <si>
    <t xml:space="preserve"> $                              169,00</t>
  </si>
  <si>
    <t xml:space="preserve"> $                               169,00</t>
  </si>
  <si>
    <t xml:space="preserve"> $                                 169,00</t>
  </si>
  <si>
    <t xml:space="preserve"> $                                    209,00</t>
  </si>
  <si>
    <t xml:space="preserve"> $                                         209,00</t>
  </si>
  <si>
    <t xml:space="preserve"> $                                         35,79</t>
  </si>
  <si>
    <t>Plántula de lechuga verde crespa </t>
  </si>
  <si>
    <t>FROM NATIVO</t>
  </si>
  <si>
    <t xml:space="preserve"> $                              210,08</t>
  </si>
  <si>
    <t xml:space="preserve"> $                               210,08</t>
  </si>
  <si>
    <t xml:space="preserve"> $                                 210,08</t>
  </si>
  <si>
    <t xml:space="preserve"> $                                    222,69</t>
  </si>
  <si>
    <t xml:space="preserve"> $                                         222,69</t>
  </si>
  <si>
    <t xml:space="preserve"> $                                         14,15</t>
  </si>
  <si>
    <t>plántula de menta </t>
  </si>
  <si>
    <t xml:space="preserve"> $                              360,00</t>
  </si>
  <si>
    <t xml:space="preserve"> $                             360</t>
  </si>
  <si>
    <t xml:space="preserve"> $                                          360</t>
  </si>
  <si>
    <t xml:space="preserve"> $                              380,00</t>
  </si>
  <si>
    <t xml:space="preserve"> $                               380,00</t>
  </si>
  <si>
    <t xml:space="preserve"> $                                 380,00</t>
  </si>
  <si>
    <t xml:space="preserve"> $                              350,00</t>
  </si>
  <si>
    <t xml:space="preserve"> $                               350,00</t>
  </si>
  <si>
    <t xml:space="preserve"> $                                 350,00</t>
  </si>
  <si>
    <t xml:space="preserve"> $                                    363,33</t>
  </si>
  <si>
    <t xml:space="preserve"> $                                         363,33</t>
  </si>
  <si>
    <t xml:space="preserve"> $                                         15,28</t>
  </si>
  <si>
    <t>plántula de caléndula </t>
  </si>
  <si>
    <t xml:space="preserve"> $                              420,00</t>
  </si>
  <si>
    <t xml:space="preserve"> $                             420</t>
  </si>
  <si>
    <t xml:space="preserve"> $                                          420</t>
  </si>
  <si>
    <t xml:space="preserve"> $                              400,00</t>
  </si>
  <si>
    <t xml:space="preserve"> $                               400,00</t>
  </si>
  <si>
    <t xml:space="preserve"> $                                 400,00</t>
  </si>
  <si>
    <t xml:space="preserve"> $                                    390,00</t>
  </si>
  <si>
    <t xml:space="preserve"> $                                         390,00</t>
  </si>
  <si>
    <t xml:space="preserve"> $                                         36,06</t>
  </si>
  <si>
    <t>plántula de breva </t>
  </si>
  <si>
    <t>CROPER</t>
  </si>
  <si>
    <t xml:space="preserve"> $                          5.952,10</t>
  </si>
  <si>
    <t xml:space="preserve"> $                         5.952</t>
  </si>
  <si>
    <t xml:space="preserve"> $                                      5.952</t>
  </si>
  <si>
    <t>LA CANASTA</t>
  </si>
  <si>
    <t xml:space="preserve"> $                          6.512,61</t>
  </si>
  <si>
    <t xml:space="preserve"> $                           6.512,61</t>
  </si>
  <si>
    <t xml:space="preserve"> $                             6.512,61</t>
  </si>
  <si>
    <t>EYO YUMA</t>
  </si>
  <si>
    <t xml:space="preserve"> $                          4.453,78</t>
  </si>
  <si>
    <t xml:space="preserve"> $                           4.453,78</t>
  </si>
  <si>
    <t xml:space="preserve"> $                             4.453,78</t>
  </si>
  <si>
    <t xml:space="preserve"> $                                5.639,50</t>
  </si>
  <si>
    <t xml:space="preserve"> $                                     5.639,50</t>
  </si>
  <si>
    <t xml:space="preserve"> $                                  1.064,42</t>
  </si>
  <si>
    <t>Plántula de Cilantro (Coriandrum sativum) </t>
  </si>
  <si>
    <t>Mide entre 5 y 12 centímetros de alto, tiene un tallo delgado de 1 a 3 milímetros, entre 2 y 6 hojas pequeñas, y raíces finas de unos 4 a 10 centímetros de largo.  </t>
  </si>
  <si>
    <t xml:space="preserve"> $                             1.200,00</t>
  </si>
  <si>
    <t xml:space="preserve"> $                           1.500,00</t>
  </si>
  <si>
    <t xml:space="preserve"> $                             1.500,00</t>
  </si>
  <si>
    <t xml:space="preserve"> $                                1.400,00</t>
  </si>
  <si>
    <t xml:space="preserve"> $                                     1.400,00</t>
  </si>
  <si>
    <t xml:space="preserve"> $                                      173,21</t>
  </si>
  <si>
    <t>Plántula de Zanahoria (Daucus carota) </t>
  </si>
  <si>
    <t xml:space="preserve"> $                              290,00</t>
  </si>
  <si>
    <t xml:space="preserve"> $                             290</t>
  </si>
  <si>
    <t xml:space="preserve"> $                                          290</t>
  </si>
  <si>
    <t xml:space="preserve"> $                              275,00</t>
  </si>
  <si>
    <t xml:space="preserve"> $                               275,00</t>
  </si>
  <si>
    <t xml:space="preserve"> $                                 275,00</t>
  </si>
  <si>
    <t xml:space="preserve"> $                              252,10</t>
  </si>
  <si>
    <t xml:space="preserve"> $                               252,10</t>
  </si>
  <si>
    <t xml:space="preserve"> $                                 252,10</t>
  </si>
  <si>
    <t xml:space="preserve"> $                                    272,37</t>
  </si>
  <si>
    <t xml:space="preserve"> $                                         272,37</t>
  </si>
  <si>
    <t xml:space="preserve"> $                                         19,09</t>
  </si>
  <si>
    <t>Plántula de Lechuga crespa morada (Lactuca sativa var. crispa) </t>
  </si>
  <si>
    <t xml:space="preserve"> $                              280,00</t>
  </si>
  <si>
    <t xml:space="preserve"> $                             280</t>
  </si>
  <si>
    <t xml:space="preserve"> $                                          280</t>
  </si>
  <si>
    <t xml:space="preserve"> $                              216,00</t>
  </si>
  <si>
    <t xml:space="preserve"> $                               216,00</t>
  </si>
  <si>
    <t xml:space="preserve"> $                                 216,00</t>
  </si>
  <si>
    <t xml:space="preserve"> $                              250,00</t>
  </si>
  <si>
    <t xml:space="preserve"> $                               250,00</t>
  </si>
  <si>
    <t xml:space="preserve"> $                                 250,00</t>
  </si>
  <si>
    <t xml:space="preserve"> $                                    248,67</t>
  </si>
  <si>
    <t xml:space="preserve"> $                                         248,67</t>
  </si>
  <si>
    <t xml:space="preserve"> $                                         32,02</t>
  </si>
  <si>
    <t>Plántula de Lechuga lisa verde (Lactuca sativa var. capitata) </t>
  </si>
  <si>
    <t xml:space="preserve"> $                              320,00</t>
  </si>
  <si>
    <t xml:space="preserve"> $                             320</t>
  </si>
  <si>
    <t xml:space="preserve"> $                                          320</t>
  </si>
  <si>
    <t xml:space="preserve"> $                              300,00</t>
  </si>
  <si>
    <t xml:space="preserve"> $                               300,00</t>
  </si>
  <si>
    <t xml:space="preserve"> $                                 300,00</t>
  </si>
  <si>
    <t xml:space="preserve"> $                              246,00</t>
  </si>
  <si>
    <t xml:space="preserve"> $                               246,00</t>
  </si>
  <si>
    <t xml:space="preserve"> $                                 246,00</t>
  </si>
  <si>
    <t xml:space="preserve"> $                                    288,67</t>
  </si>
  <si>
    <t xml:space="preserve"> $                                         288,67</t>
  </si>
  <si>
    <t xml:space="preserve"> $                                         38,28</t>
  </si>
  <si>
    <t>Plántula de Lechuga lisa morada (Lactuca sativa var. capitata) </t>
  </si>
  <si>
    <t xml:space="preserve"> $                              255,00</t>
  </si>
  <si>
    <t xml:space="preserve"> $                               255,00</t>
  </si>
  <si>
    <t xml:space="preserve"> $                                 255,00</t>
  </si>
  <si>
    <t xml:space="preserve"> $                                    291,67</t>
  </si>
  <si>
    <t xml:space="preserve"> $                                         291,67</t>
  </si>
  <si>
    <t xml:space="preserve"> $                                         33,29</t>
  </si>
  <si>
    <t>Plántula de Lechuga Batavia (Lactuca sativa var. capitata) </t>
  </si>
  <si>
    <t>Plántula de Lechuga de cogollo (Lactuca sativa var. romana) </t>
  </si>
  <si>
    <t xml:space="preserve"> $                              240,00</t>
  </si>
  <si>
    <t xml:space="preserve"> $                             240</t>
  </si>
  <si>
    <t xml:space="preserve"> $                                          240</t>
  </si>
  <si>
    <t xml:space="preserve"> $                              224,00</t>
  </si>
  <si>
    <t xml:space="preserve"> $                               224,00</t>
  </si>
  <si>
    <t xml:space="preserve"> $                                 224,00</t>
  </si>
  <si>
    <t xml:space="preserve"> $                                    238,00</t>
  </si>
  <si>
    <t xml:space="preserve"> $                                         238,00</t>
  </si>
  <si>
    <t xml:space="preserve"> $                                         13,11</t>
  </si>
  <si>
    <t>Plántula de Lechuga Mizuna (Brassica rapa var. nipposinica) </t>
  </si>
  <si>
    <t>SEMBRAMOS VARIOS ONLINE</t>
  </si>
  <si>
    <t>plántula de lechuga Escarola (Cichorium endivia) </t>
  </si>
  <si>
    <t xml:space="preserve"> $                                 200,00</t>
  </si>
  <si>
    <t xml:space="preserve"> $                              154,00</t>
  </si>
  <si>
    <t xml:space="preserve"> $                               154,00</t>
  </si>
  <si>
    <t xml:space="preserve"> $                                 154,00</t>
  </si>
  <si>
    <t xml:space="preserve"> $                                    191,33</t>
  </si>
  <si>
    <t xml:space="preserve"> $                                         191,33</t>
  </si>
  <si>
    <t xml:space="preserve"> $                                         33,84</t>
  </si>
  <si>
    <t>Plántula de Lechuga Romana (Lactuca sativa var. longifolia) </t>
  </si>
  <si>
    <t>PLANTULAMOS</t>
  </si>
  <si>
    <t xml:space="preserve"> $                              168,07</t>
  </si>
  <si>
    <t xml:space="preserve"> $                               168,07</t>
  </si>
  <si>
    <t xml:space="preserve"> $                                 168,07</t>
  </si>
  <si>
    <t xml:space="preserve"> $                                    196,02</t>
  </si>
  <si>
    <t xml:space="preserve"> $                                         196,02</t>
  </si>
  <si>
    <t xml:space="preserve"> $                                         26,19</t>
  </si>
  <si>
    <t>Plántula de Perejil liso (Petroselinum crispum var. neapolitanum) </t>
  </si>
  <si>
    <t xml:space="preserve"> $                              147,00</t>
  </si>
  <si>
    <t xml:space="preserve"> $                               147,00</t>
  </si>
  <si>
    <t xml:space="preserve"> $                                 147,00</t>
  </si>
  <si>
    <t xml:space="preserve"> $                                    189,00</t>
  </si>
  <si>
    <t xml:space="preserve"> $                                         189,00</t>
  </si>
  <si>
    <t xml:space="preserve"> $                                         37,72</t>
  </si>
  <si>
    <t>Plántula de Perejil crespo (Petroselinum crispum var. crispum) </t>
  </si>
  <si>
    <t>Pántula de Zuchini amarillo (Cucurbita pepo) </t>
  </si>
  <si>
    <t xml:space="preserve"> $                              880,00</t>
  </si>
  <si>
    <t xml:space="preserve"> $                             167</t>
  </si>
  <si>
    <t xml:space="preserve"> $                         1.047</t>
  </si>
  <si>
    <t xml:space="preserve"> $                                          880</t>
  </si>
  <si>
    <t xml:space="preserve"> $                              700,00</t>
  </si>
  <si>
    <t xml:space="preserve"> $                     133,00</t>
  </si>
  <si>
    <t xml:space="preserve"> $                              833,00</t>
  </si>
  <si>
    <t xml:space="preserve"> $                               700,00</t>
  </si>
  <si>
    <t xml:space="preserve"> $                                 833,00</t>
  </si>
  <si>
    <t xml:space="preserve"> $                              616,00</t>
  </si>
  <si>
    <t xml:space="preserve"> $                    117,04</t>
  </si>
  <si>
    <t xml:space="preserve"> $                              733,04</t>
  </si>
  <si>
    <t xml:space="preserve"> $                               616,00</t>
  </si>
  <si>
    <t xml:space="preserve"> $                                 733,04</t>
  </si>
  <si>
    <t xml:space="preserve"> $                                    871,08</t>
  </si>
  <si>
    <t xml:space="preserve"> $                                         871,08</t>
  </si>
  <si>
    <t xml:space="preserve"> $                                      160,50</t>
  </si>
  <si>
    <t>Plántula de Zuchini verde (Cucurbita pepo) </t>
  </si>
  <si>
    <t xml:space="preserve"> $                              800,00</t>
  </si>
  <si>
    <t xml:space="preserve"> $                             800</t>
  </si>
  <si>
    <t xml:space="preserve"> $                                          800</t>
  </si>
  <si>
    <t xml:space="preserve"> $                                 700,00</t>
  </si>
  <si>
    <t xml:space="preserve"> $                                 616,00</t>
  </si>
  <si>
    <t xml:space="preserve"> $                                    705,33</t>
  </si>
  <si>
    <t xml:space="preserve"> $                                         705,33</t>
  </si>
  <si>
    <t xml:space="preserve"> $                                         92,12</t>
  </si>
  <si>
    <t>Plántula de Brócoli Liso (Brassica oleracea var. italica) </t>
  </si>
  <si>
    <t>Plántula de Brocoli Romanesco (Brassica oleracea var. botrytis) </t>
  </si>
  <si>
    <t xml:space="preserve"> $                                1.500,00</t>
  </si>
  <si>
    <t xml:space="preserve"> $                                     1.500,00</t>
  </si>
  <si>
    <t xml:space="preserve"> $                                      300,00</t>
  </si>
  <si>
    <t>Plántula de Tomate Cherry (Solanum lycopersicum var. cerasiforme) </t>
  </si>
  <si>
    <t xml:space="preserve"> $                          2.600,00</t>
  </si>
  <si>
    <t xml:space="preserve"> $                         2.600</t>
  </si>
  <si>
    <t xml:space="preserve"> $                                      2.600</t>
  </si>
  <si>
    <t xml:space="preserve"> $                          2.500,00</t>
  </si>
  <si>
    <t xml:space="preserve"> $                           2.500,00</t>
  </si>
  <si>
    <t xml:space="preserve"> $                             2.500,00</t>
  </si>
  <si>
    <t xml:space="preserve"> $                          2.387,00</t>
  </si>
  <si>
    <t xml:space="preserve"> $                           2.387,00</t>
  </si>
  <si>
    <t xml:space="preserve"> $                             2.387,00</t>
  </si>
  <si>
    <t xml:space="preserve"> $                                2.495,67</t>
  </si>
  <si>
    <t xml:space="preserve"> $                                     2.495,67</t>
  </si>
  <si>
    <t xml:space="preserve"> $                                      106,57</t>
  </si>
  <si>
    <t>Plántula de Rúgula ( Eruca vesicaria) </t>
  </si>
  <si>
    <t>Plántula de Tomillo (Thymus vulgaris) </t>
  </si>
  <si>
    <t xml:space="preserve"> $                              260,00</t>
  </si>
  <si>
    <t xml:space="preserve"> $                             260</t>
  </si>
  <si>
    <t xml:space="preserve"> $                                          260</t>
  </si>
  <si>
    <t xml:space="preserve"> $                                    286,67</t>
  </si>
  <si>
    <t xml:space="preserve"> $                                         286,67</t>
  </si>
  <si>
    <t xml:space="preserve"> $                                         55,08</t>
  </si>
  <si>
    <t>Plántula de Apio (Apium graveolens) </t>
  </si>
  <si>
    <t xml:space="preserve"> $                              193,00</t>
  </si>
  <si>
    <t xml:space="preserve"> $                               193,00</t>
  </si>
  <si>
    <t xml:space="preserve"> $                                 193,00</t>
  </si>
  <si>
    <t xml:space="preserve"> $                                    241,00</t>
  </si>
  <si>
    <t xml:space="preserve"> $                                         241,00</t>
  </si>
  <si>
    <t xml:space="preserve"> $                                         44,19</t>
  </si>
  <si>
    <t>Plántula de Frijol Cargamanto (Phaseolus vulgaris) </t>
  </si>
  <si>
    <t>MY GARDEN</t>
  </si>
  <si>
    <t xml:space="preserve"> $                          6.722,69</t>
  </si>
  <si>
    <t xml:space="preserve"> $                         6.723</t>
  </si>
  <si>
    <t xml:space="preserve"> $                                      6.723</t>
  </si>
  <si>
    <t>HOGAR SEMILLA</t>
  </si>
  <si>
    <t xml:space="preserve"> $                           6.722,69</t>
  </si>
  <si>
    <t xml:space="preserve"> $                             6.722,69</t>
  </si>
  <si>
    <t>ZELVA</t>
  </si>
  <si>
    <t xml:space="preserve"> $                          8.000,00</t>
  </si>
  <si>
    <t xml:space="preserve"> $                           8.000,00</t>
  </si>
  <si>
    <t xml:space="preserve"> $                             8.000,00</t>
  </si>
  <si>
    <t xml:space="preserve"> $                                7.148,46</t>
  </si>
  <si>
    <t xml:space="preserve"> $                                     7.148,46</t>
  </si>
  <si>
    <t xml:space="preserve"> $                                      737,46</t>
  </si>
  <si>
    <t>Plántula de Kale Liso (Brassica oleracea var. acephala)  </t>
  </si>
  <si>
    <t>Plántula de Kale Crespo (Brassica oleracea var. sabellica) </t>
  </si>
  <si>
    <t>Plántula de Caléndula (Calendula officinalis) </t>
  </si>
  <si>
    <t xml:space="preserve"> $                              460,00</t>
  </si>
  <si>
    <t xml:space="preserve"> $                             460</t>
  </si>
  <si>
    <t xml:space="preserve"> $                                          460</t>
  </si>
  <si>
    <t xml:space="preserve"> $                                    403,33</t>
  </si>
  <si>
    <t xml:space="preserve"> $                                         403,33</t>
  </si>
  <si>
    <t>Plántula de Acelga Blanca (Beta vulgaris var. cicla) </t>
  </si>
  <si>
    <t>FRUTOS CAMPESTRES</t>
  </si>
  <si>
    <t xml:space="preserve"> $                          1.400,00</t>
  </si>
  <si>
    <t xml:space="preserve"> $                           1.400,00</t>
  </si>
  <si>
    <t xml:space="preserve"> $                             1.400,00</t>
  </si>
  <si>
    <t xml:space="preserve"> $                                1.366,67</t>
  </si>
  <si>
    <t xml:space="preserve"> $                                     1.366,67</t>
  </si>
  <si>
    <t>Plántula de Acelga de colores (Beta vulgaris var. cicla) </t>
  </si>
  <si>
    <t>Plántula de Lulo (Solanum quitoense) </t>
  </si>
  <si>
    <t xml:space="preserve"> $                         4.000</t>
  </si>
  <si>
    <t xml:space="preserve"> $                                      4.000</t>
  </si>
  <si>
    <t xml:space="preserve"> $                                3.766,67</t>
  </si>
  <si>
    <t xml:space="preserve"> $                                     3.766,67</t>
  </si>
  <si>
    <t xml:space="preserve"> $                                      251,66</t>
  </si>
  <si>
    <t>Cal dolomita </t>
  </si>
  <si>
    <t>Polvo seco, color blanco hasta Gris, Apariencia Polvo Color Gris Olor Inodoro pH al 10% (en agua); promedio 8,8 Densidad aparente (g/cm3): 1,4 Bulto por 50 kg </t>
  </si>
  <si>
    <t xml:space="preserve"> $                       26.000,00</t>
  </si>
  <si>
    <t xml:space="preserve"> $                      26.000</t>
  </si>
  <si>
    <t xml:space="preserve"> $                                   26.000</t>
  </si>
  <si>
    <t xml:space="preserve"> $                       25.000,00</t>
  </si>
  <si>
    <t xml:space="preserve"> $                         25.000,00</t>
  </si>
  <si>
    <t xml:space="preserve"> $                          25.000,00</t>
  </si>
  <si>
    <t xml:space="preserve"> $                       22.400,00</t>
  </si>
  <si>
    <t xml:space="preserve"> $                         22.400,00</t>
  </si>
  <si>
    <t xml:space="preserve"> $                          22.400,00</t>
  </si>
  <si>
    <t xml:space="preserve"> $                             24.466,67</t>
  </si>
  <si>
    <t xml:space="preserve"> $                                  24.466,67</t>
  </si>
  <si>
    <t xml:space="preserve"> $                                  1.858,31</t>
  </si>
  <si>
    <t>Bulto de compost.  </t>
  </si>
  <si>
    <t>Material orgánico con buenas condiciones de descomposición, buen olor y alto contenido de nutrientes. Bulto: 20 kg </t>
  </si>
  <si>
    <t xml:space="preserve"> $                      20.000</t>
  </si>
  <si>
    <t xml:space="preserve"> $                                   20.000</t>
  </si>
  <si>
    <t xml:space="preserve"> $                       18.000,00</t>
  </si>
  <si>
    <t xml:space="preserve"> $                         18.000,00</t>
  </si>
  <si>
    <t xml:space="preserve"> $                          18.000,00</t>
  </si>
  <si>
    <t xml:space="preserve"> $                             17.333,33</t>
  </si>
  <si>
    <t xml:space="preserve"> $                                  17.333,33</t>
  </si>
  <si>
    <t xml:space="preserve"> $                                  3.055,05</t>
  </si>
  <si>
    <t>Malla plástica tipo diamante 15 mt </t>
  </si>
  <si>
    <t>Malla Plástica Multiusos Diamante 1 16 x 16 x 1,5 mt alto  y 15 mt de largo Color Verde o negro </t>
  </si>
  <si>
    <t xml:space="preserve"> $                     250.000,00</t>
  </si>
  <si>
    <t xml:space="preserve"> $                      47.500</t>
  </si>
  <si>
    <t xml:space="preserve"> $                    297.500</t>
  </si>
  <si>
    <t xml:space="preserve"> $                                250.000</t>
  </si>
  <si>
    <t xml:space="preserve"> $                     240.000,00</t>
  </si>
  <si>
    <t xml:space="preserve"> $              45.600,00</t>
  </si>
  <si>
    <t xml:space="preserve"> $                     285.600,00</t>
  </si>
  <si>
    <t xml:space="preserve"> $                      240.000,00</t>
  </si>
  <si>
    <t xml:space="preserve"> $                       285.600,00</t>
  </si>
  <si>
    <t xml:space="preserve"> $                     224.000,00</t>
  </si>
  <si>
    <t xml:space="preserve"> $             42.560,00</t>
  </si>
  <si>
    <t xml:space="preserve"> $                     266.560,00</t>
  </si>
  <si>
    <t xml:space="preserve"> $                      224.000,00</t>
  </si>
  <si>
    <t xml:space="preserve"> $                       266.560,00</t>
  </si>
  <si>
    <t xml:space="preserve"> $                          283.220,00</t>
  </si>
  <si>
    <t xml:space="preserve"> $                               283.220,00</t>
  </si>
  <si>
    <t xml:space="preserve"> $                                15.606,70</t>
  </si>
  <si>
    <t>Bandeja de germinación 32 cavidades </t>
  </si>
  <si>
    <t>Bandeja De Enraizamiento De 32 Cav Profunda, Tipo Vaso. </t>
  </si>
  <si>
    <t>LA RES</t>
  </si>
  <si>
    <t xml:space="preserve"> $                       11.596,64</t>
  </si>
  <si>
    <t xml:space="preserve"> $                         2.203</t>
  </si>
  <si>
    <t xml:space="preserve"> $                      13.800</t>
  </si>
  <si>
    <t xml:space="preserve"> $                                   11.597</t>
  </si>
  <si>
    <t>TERMOFORMADOS</t>
  </si>
  <si>
    <t xml:space="preserve"> $                       13.949,58</t>
  </si>
  <si>
    <t xml:space="preserve"> $                 2.650,42</t>
  </si>
  <si>
    <t xml:space="preserve"> $                       16.600,00</t>
  </si>
  <si>
    <t xml:space="preserve"> $                         13.949,58</t>
  </si>
  <si>
    <t xml:space="preserve"> $                          16.600,00</t>
  </si>
  <si>
    <t>TIERRAGRO</t>
  </si>
  <si>
    <t xml:space="preserve"> $                       10.420,17</t>
  </si>
  <si>
    <t xml:space="preserve"> $                1.979,83</t>
  </si>
  <si>
    <t xml:space="preserve"> $                       12.400,00</t>
  </si>
  <si>
    <t xml:space="preserve"> $                         10.420,17</t>
  </si>
  <si>
    <t xml:space="preserve"> $                          12.400,00</t>
  </si>
  <si>
    <t xml:space="preserve"> $                             14.266,67</t>
  </si>
  <si>
    <t xml:space="preserve"> $                                  14.266,67</t>
  </si>
  <si>
    <t xml:space="preserve"> $                                  2.138,54</t>
  </si>
  <si>
    <t>Caja de Puntilla con cabeza 2 pulg </t>
  </si>
  <si>
    <t>En acero, Medidas: 2-1/2pulg Con cabeza, uso: Madera maciza - Caja Libra </t>
  </si>
  <si>
    <t>Regadera Plástica de 5 litros </t>
  </si>
  <si>
    <t>Regadera Plastica de 5 litros </t>
  </si>
  <si>
    <t xml:space="preserve"> $                       50.000,00</t>
  </si>
  <si>
    <t xml:space="preserve"> $                         9.500</t>
  </si>
  <si>
    <t xml:space="preserve"> $                      59.500</t>
  </si>
  <si>
    <t xml:space="preserve"> $                                   50.000</t>
  </si>
  <si>
    <t xml:space="preserve"> $                       49.000,00</t>
  </si>
  <si>
    <t xml:space="preserve"> $                 9.310,00</t>
  </si>
  <si>
    <t xml:space="preserve"> $                       58.310,00</t>
  </si>
  <si>
    <t xml:space="preserve"> $                         49.000,00</t>
  </si>
  <si>
    <t xml:space="preserve"> $                          58.310,00</t>
  </si>
  <si>
    <t xml:space="preserve"> $                       47.600,00</t>
  </si>
  <si>
    <t xml:space="preserve"> $                9.044,00</t>
  </si>
  <si>
    <t xml:space="preserve"> $                       56.644,00</t>
  </si>
  <si>
    <t xml:space="preserve"> $                         47.600,00</t>
  </si>
  <si>
    <t xml:space="preserve"> $                          56.644,00</t>
  </si>
  <si>
    <t>Tierra negra preparada, Bulto 40 kg </t>
  </si>
  <si>
    <t>40 kg de tierra negra para compostaje </t>
  </si>
  <si>
    <t xml:space="preserve"> $                       28.000,00</t>
  </si>
  <si>
    <t xml:space="preserve"> $                         28.000,00</t>
  </si>
  <si>
    <t xml:space="preserve"> $                          28.000,00</t>
  </si>
  <si>
    <t>Abono bocashi para acelerar compostaje </t>
  </si>
  <si>
    <t>Acelerador De Compostaje 100% Natural 100 G </t>
  </si>
  <si>
    <t xml:space="preserve"> $                          2.200,00</t>
  </si>
  <si>
    <t xml:space="preserve"> $                         2.200</t>
  </si>
  <si>
    <t xml:space="preserve"> $                                      2.200</t>
  </si>
  <si>
    <t xml:space="preserve"> $                          2.000,00</t>
  </si>
  <si>
    <t xml:space="preserve"> $                           2.000,00</t>
  </si>
  <si>
    <t xml:space="preserve"> $                             2.000,00</t>
  </si>
  <si>
    <t>DISTRIBUCIONES LADAM SAS</t>
  </si>
  <si>
    <t xml:space="preserve"> $                          2.016,81</t>
  </si>
  <si>
    <t xml:space="preserve"> $                    383,19</t>
  </si>
  <si>
    <t xml:space="preserve"> $                          2.400,00</t>
  </si>
  <si>
    <t xml:space="preserve"> $                           2.016,81</t>
  </si>
  <si>
    <t xml:space="preserve"> $                             2.400,00</t>
  </si>
  <si>
    <t>Polisombra negra 10 mt </t>
  </si>
  <si>
    <t>Polisombra Negra X 4 Mts Ancho X 10 Mts Largo 80 % </t>
  </si>
  <si>
    <t xml:space="preserve"> $                       75.000,00</t>
  </si>
  <si>
    <t xml:space="preserve"> $                      14.250</t>
  </si>
  <si>
    <t xml:space="preserve"> $                      89.250</t>
  </si>
  <si>
    <t xml:space="preserve"> $                                   75.000</t>
  </si>
  <si>
    <t xml:space="preserve"> $                       73.000,00</t>
  </si>
  <si>
    <t xml:space="preserve"> $              13.870,00</t>
  </si>
  <si>
    <t xml:space="preserve"> $                       86.870,00</t>
  </si>
  <si>
    <t xml:space="preserve"> $                         73.000,00</t>
  </si>
  <si>
    <t xml:space="preserve"> $                          86.870,00</t>
  </si>
  <si>
    <t xml:space="preserve"> $                       70.000,00</t>
  </si>
  <si>
    <t xml:space="preserve"> $             13.300,00</t>
  </si>
  <si>
    <t xml:space="preserve"> $                       83.300,00</t>
  </si>
  <si>
    <t xml:space="preserve"> $                         70.000,00</t>
  </si>
  <si>
    <t xml:space="preserve"> $                          83.300,00</t>
  </si>
  <si>
    <t>Cascarilla quemada 4 kg </t>
  </si>
  <si>
    <t>Residuo de arroz quemado, de textura liviana y porosa, color negro grisáceo, ideal para sustrato o mejoramiento de suelos. Paquete por 4 kg </t>
  </si>
  <si>
    <t xml:space="preserve"> $                       22.000,00</t>
  </si>
  <si>
    <t xml:space="preserve"> $                      22.000</t>
  </si>
  <si>
    <t xml:space="preserve"> $                                   22.000</t>
  </si>
  <si>
    <t xml:space="preserve"> $                       24.000,00</t>
  </si>
  <si>
    <t xml:space="preserve"> $                         24.000,00</t>
  </si>
  <si>
    <t xml:space="preserve"> $                          24.000,00</t>
  </si>
  <si>
    <t xml:space="preserve"> $                         20.000,00</t>
  </si>
  <si>
    <t>Humus 10 kg </t>
  </si>
  <si>
    <t>Humus de lombriz, de textura fina y color marrón oscuro, alto en materia orgánica. Presentación en bultos de 10 kg  </t>
  </si>
  <si>
    <t xml:space="preserve"> $                       17.500,00</t>
  </si>
  <si>
    <t xml:space="preserve"> $                      17.500</t>
  </si>
  <si>
    <t xml:space="preserve"> $                                   17.500</t>
  </si>
  <si>
    <t>Fibra de coco 4 lt </t>
  </si>
  <si>
    <t>Sustrato vegetal en forma de fibra o polvo, de color marrón claro, con buena retención de humedad. Presentación en bloques comprimidos o sacos de 4 lt </t>
  </si>
  <si>
    <t xml:space="preserve"> $                       12.000,00</t>
  </si>
  <si>
    <t xml:space="preserve"> $                      12.000</t>
  </si>
  <si>
    <t xml:space="preserve"> $                                   12.000</t>
  </si>
  <si>
    <t xml:space="preserve"> $                       10.000,00</t>
  </si>
  <si>
    <t xml:space="preserve"> $                         10.000,00</t>
  </si>
  <si>
    <t xml:space="preserve"> $                          10.000,00</t>
  </si>
  <si>
    <t>Listones de madera </t>
  </si>
  <si>
    <t>Madera aserrada (pino o similar), medida estándar de  2”x 4”, largos de 3 metros </t>
  </si>
  <si>
    <t xml:space="preserve"> $                       54.000,00</t>
  </si>
  <si>
    <t xml:space="preserve"> $                      10.260</t>
  </si>
  <si>
    <t xml:space="preserve"> $                      64.260</t>
  </si>
  <si>
    <t xml:space="preserve"> $                                   54.000</t>
  </si>
  <si>
    <t xml:space="preserve"> $                       58.000,00</t>
  </si>
  <si>
    <t xml:space="preserve"> $              11.020,00</t>
  </si>
  <si>
    <t xml:space="preserve"> $                       69.020,00</t>
  </si>
  <si>
    <t xml:space="preserve"> $                         58.000,00</t>
  </si>
  <si>
    <t xml:space="preserve"> $                          69.020,00</t>
  </si>
  <si>
    <t xml:space="preserve"> $                       56.000,00</t>
  </si>
  <si>
    <t xml:space="preserve"> $             10.640,00</t>
  </si>
  <si>
    <t xml:space="preserve"> $                       66.640,00</t>
  </si>
  <si>
    <t xml:space="preserve"> $                         56.000,00</t>
  </si>
  <si>
    <t xml:space="preserve"> $                          66.640,00</t>
  </si>
  <si>
    <t>Plástico calibre 6 </t>
  </si>
  <si>
    <t>Plastico Invernadero 3m Ancho X 10m Largo Calibre 6 </t>
  </si>
  <si>
    <t xml:space="preserve"> $                       69.000,00</t>
  </si>
  <si>
    <t xml:space="preserve"> $                      13.110</t>
  </si>
  <si>
    <t xml:space="preserve"> $                      82.110</t>
  </si>
  <si>
    <t xml:space="preserve"> $                                   69.000</t>
  </si>
  <si>
    <t xml:space="preserve"> $              13.300,00</t>
  </si>
  <si>
    <t xml:space="preserve"> $                       72.000,00</t>
  </si>
  <si>
    <t xml:space="preserve"> $             13.680,00</t>
  </si>
  <si>
    <t xml:space="preserve"> $                       85.680,00</t>
  </si>
  <si>
    <t xml:space="preserve"> $                         72.000,00</t>
  </si>
  <si>
    <t xml:space="preserve"> $                          85.680,00</t>
  </si>
  <si>
    <t>Kit de jardinería </t>
  </si>
  <si>
    <t xml:space="preserve">Set de jardín que incluye pinzas de corte, pala ancha, horqueta, rastrillo, guantes de algodón con antiderrapante y bolsa en poliester con asa.  * Material: Poliéster / Metal / Madera Eucalipto. * Tamaño: 20 x 30 cm. </t>
  </si>
  <si>
    <t xml:space="preserve"> $                     137.000,00</t>
  </si>
  <si>
    <t xml:space="preserve"> $                      26.030</t>
  </si>
  <si>
    <t xml:space="preserve"> $                    163.030</t>
  </si>
  <si>
    <t xml:space="preserve"> $                                137.000</t>
  </si>
  <si>
    <t xml:space="preserve"> $                     140.000,00</t>
  </si>
  <si>
    <t xml:space="preserve"> $              26.600,00</t>
  </si>
  <si>
    <t xml:space="preserve"> $                     166.600,00</t>
  </si>
  <si>
    <t xml:space="preserve"> $                      140.000,00</t>
  </si>
  <si>
    <t xml:space="preserve"> $                       166.600,00</t>
  </si>
  <si>
    <t xml:space="preserve"> $                     138.600,00</t>
  </si>
  <si>
    <t xml:space="preserve"> $             26.334,00</t>
  </si>
  <si>
    <t xml:space="preserve"> $                     164.934,00</t>
  </si>
  <si>
    <t xml:space="preserve"> $                      138.600,00</t>
  </si>
  <si>
    <t xml:space="preserve"> $                       164.934,00</t>
  </si>
  <si>
    <t>Tijeras de poda larga </t>
  </si>
  <si>
    <t>Tijeras de dos manos con mango largo (80 cm), hoja curva de acero templado, ideales para cortar ramas gruesas de hasta 3 cm de diámetro. Mangos ergonómicos, antideslizantes. </t>
  </si>
  <si>
    <t xml:space="preserve"> $                     173.000,00</t>
  </si>
  <si>
    <t xml:space="preserve"> $                      32.870</t>
  </si>
  <si>
    <t xml:space="preserve"> $                    205.870</t>
  </si>
  <si>
    <t xml:space="preserve"> $                                173.000</t>
  </si>
  <si>
    <t xml:space="preserve"> $                     175.000,00</t>
  </si>
  <si>
    <t xml:space="preserve"> $              33.250,00</t>
  </si>
  <si>
    <t xml:space="preserve"> $                     208.250,00</t>
  </si>
  <si>
    <t xml:space="preserve"> $                      175.000,00</t>
  </si>
  <si>
    <t xml:space="preserve"> $                       208.250,00</t>
  </si>
  <si>
    <t xml:space="preserve"> $                     180.600,00</t>
  </si>
  <si>
    <t xml:space="preserve"> $             34.314,00</t>
  </si>
  <si>
    <t xml:space="preserve"> $                     214.914,00</t>
  </si>
  <si>
    <t xml:space="preserve"> $                      180.600,00</t>
  </si>
  <si>
    <t xml:space="preserve"> $                       214.914,00</t>
  </si>
  <si>
    <t>Carretilla  tipo zorra </t>
  </si>
  <si>
    <t>Carretilla Zorra Carro Plegable Multifunciones 80kg + Pulpo </t>
  </si>
  <si>
    <t xml:space="preserve"> $                     162.000,00</t>
  </si>
  <si>
    <t xml:space="preserve"> $                      30.780</t>
  </si>
  <si>
    <t xml:space="preserve"> $                    192.780</t>
  </si>
  <si>
    <t xml:space="preserve"> $                                162.000</t>
  </si>
  <si>
    <t xml:space="preserve"> $                     160.000,00</t>
  </si>
  <si>
    <t xml:space="preserve"> $              30.400,00</t>
  </si>
  <si>
    <t xml:space="preserve"> $                     190.400,00</t>
  </si>
  <si>
    <t xml:space="preserve"> $                      160.000,00</t>
  </si>
  <si>
    <t xml:space="preserve"> $                       190.400,00</t>
  </si>
  <si>
    <t xml:space="preserve"> $                     154.000,00</t>
  </si>
  <si>
    <t xml:space="preserve"> $             29.260,00</t>
  </si>
  <si>
    <t xml:space="preserve"> $                     183.260,00</t>
  </si>
  <si>
    <t xml:space="preserve"> $                      154.000,00</t>
  </si>
  <si>
    <t xml:space="preserve"> $                       183.260,00</t>
  </si>
  <si>
    <t>Alambre dulce </t>
  </si>
  <si>
    <t>Alambre galvanizado de acero de fácil manipulación (maleable), de 10 metros, calibre 20 Usado para amarres o estructuras ligeras. </t>
  </si>
  <si>
    <t xml:space="preserve"> $                       10.840,34</t>
  </si>
  <si>
    <t xml:space="preserve"> $                         2.060</t>
  </si>
  <si>
    <t xml:space="preserve"> $                      12.900</t>
  </si>
  <si>
    <t xml:space="preserve"> $                                   10.840</t>
  </si>
  <si>
    <t>FERRETERIA PEÑA</t>
  </si>
  <si>
    <t xml:space="preserve"> $                       10.084,03</t>
  </si>
  <si>
    <t xml:space="preserve"> $                 1.915,97</t>
  </si>
  <si>
    <t xml:space="preserve"> $                         10.084,03</t>
  </si>
  <si>
    <t xml:space="preserve"> $                          12.000,00</t>
  </si>
  <si>
    <t>COMADERAS</t>
  </si>
  <si>
    <t xml:space="preserve"> $                1.900,00</t>
  </si>
  <si>
    <t xml:space="preserve"> $                       11.900,00</t>
  </si>
  <si>
    <t xml:space="preserve"> $                          11.900,00</t>
  </si>
  <si>
    <t>Aspersora de 10 litros </t>
  </si>
  <si>
    <t>Aspersora manual tipo mochila o de presión previa, capacidad de 10 litros, fabricada en plástico resistente, boquilla ajustable (niebla/chorro), válvula de seguridad, correa para transporte. </t>
  </si>
  <si>
    <t xml:space="preserve"> $                     124.285,71</t>
  </si>
  <si>
    <t xml:space="preserve"> $                      23.614</t>
  </si>
  <si>
    <t xml:space="preserve"> $                    147.900</t>
  </si>
  <si>
    <t xml:space="preserve"> $                                124.286</t>
  </si>
  <si>
    <t>PROGEN</t>
  </si>
  <si>
    <t xml:space="preserve"> $                     142.857,14</t>
  </si>
  <si>
    <t xml:space="preserve"> $              27.142,86</t>
  </si>
  <si>
    <t xml:space="preserve"> $                     170.000,00</t>
  </si>
  <si>
    <t xml:space="preserve"> $                      142.857,14</t>
  </si>
  <si>
    <t xml:space="preserve"> $                       170.000,00</t>
  </si>
  <si>
    <t>AGROTECNICO</t>
  </si>
  <si>
    <t xml:space="preserve"> $                     131.596,64</t>
  </si>
  <si>
    <t xml:space="preserve"> $             25.003,36</t>
  </si>
  <si>
    <t xml:space="preserve"> $                     156.600,00</t>
  </si>
  <si>
    <t xml:space="preserve"> $                      131.596,64</t>
  </si>
  <si>
    <t xml:space="preserve"> $                       156.600,00</t>
  </si>
  <si>
    <t>Aspersora de 5 litros </t>
  </si>
  <si>
    <t>Aspersora manual de mano, capacidad de 5 litros, diseño compacto, fabricada en plástico resistente, boquilla regulable, ideal para aplicaciones en semilleros o plantas pequeñas. </t>
  </si>
  <si>
    <t>HOMMECENTER</t>
  </si>
  <si>
    <t xml:space="preserve"> $                       54.537,82</t>
  </si>
  <si>
    <t xml:space="preserve"> $                      10.362</t>
  </si>
  <si>
    <t xml:space="preserve"> $                      64.900</t>
  </si>
  <si>
    <t xml:space="preserve"> $                                   54.538</t>
  </si>
  <si>
    <t xml:space="preserve"> $              10.362,18</t>
  </si>
  <si>
    <t xml:space="preserve"> $                       64.900,00</t>
  </si>
  <si>
    <t xml:space="preserve"> $                         54.537,82</t>
  </si>
  <si>
    <t xml:space="preserve"> $                          64.900,00</t>
  </si>
  <si>
    <t xml:space="preserve"> $                       52.538,66</t>
  </si>
  <si>
    <t xml:space="preserve"> $                9.982,34</t>
  </si>
  <si>
    <t xml:space="preserve"> $                       62.521,00</t>
  </si>
  <si>
    <t xml:space="preserve"> $                         52.538,66</t>
  </si>
  <si>
    <t xml:space="preserve"> $                          62.521,00</t>
  </si>
  <si>
    <t>Guantes  </t>
  </si>
  <si>
    <t>Guantes de protección para labores agrícolas, en materiales resistentes (látex, nitrilo o tela recubierta). Tallas M y L, antideslizantes, reutilizables. </t>
  </si>
  <si>
    <t xml:space="preserve"> $                         3.420</t>
  </si>
  <si>
    <t xml:space="preserve"> $                      21.420</t>
  </si>
  <si>
    <t xml:space="preserve"> $                                   18.000</t>
  </si>
  <si>
    <t xml:space="preserve"> $                       17.000,00</t>
  </si>
  <si>
    <t xml:space="preserve"> $                 3.230,00</t>
  </si>
  <si>
    <t xml:space="preserve"> $                       20.230,00</t>
  </si>
  <si>
    <t xml:space="preserve"> $                         17.000,00</t>
  </si>
  <si>
    <t xml:space="preserve"> $                          20.230,00</t>
  </si>
  <si>
    <t xml:space="preserve"> $                       15.260,00</t>
  </si>
  <si>
    <t xml:space="preserve"> $                2.899,40</t>
  </si>
  <si>
    <t xml:space="preserve"> $                       18.159,40</t>
  </si>
  <si>
    <t xml:space="preserve"> $                         15.260,00</t>
  </si>
  <si>
    <t xml:space="preserve"> $                          18.159,40</t>
  </si>
  <si>
    <t>TOTAL ITEMS BOLSA HUERTAS CASERAS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</si>
</sst>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3" formatCode="_-* #,##0.00_-;\-* #,##0.00_-;_-* &quot;-&quot;??_-;_-@_-"/>
    <numFmt numFmtId="164" formatCode="&quot;$&quot;\ #,##0;[Red]\-&quot;$&quot;\ #,##0"/>
    <numFmt numFmtId="165" formatCode="&quot;$&quot;\ #,##0.00;[Red]\-&quot;$&quot;\ #,##0.00"/>
    <numFmt numFmtId="166" formatCode="_-&quot;$&quot;\ * #,##0.00_-;\-&quot;$&quot;\ * #,##0.00_-;_-&quot;$&quot;\ * &quot;-&quot;??_-;_-@_-"/>
    <numFmt numFmtId="167" formatCode="_-&quot;$&quot;\ * #,##0_-;\-&quot;$&quot;\ * #,##0_-;_-&quot;$&quot;\ * &quot;-&quot;??_-;_-@_-"/>
    <numFmt numFmtId="168" formatCode="_-[$$-240A]\ * #,##0_-;\-[$$-240A]\ * #,##0_-;_-[$$-240A]\ * &quot;-&quot;??_-;_-@_-"/>
    <numFmt numFmtId="169" formatCode="_-&quot;$&quot;\ * #,##0.0000_-;\-&quot;$&quot;\ * #,##0.0000_-;_-&quot;$&quot;\ * &quot;-&quot;??_-;_-@_-"/>
    <numFmt numFmtId="170" formatCode="_-[$$-409]* #,##0.00_ ;_-[$$-409]* \-#,##0.00\ ;_-[$$-409]* &quot;-&quot;??_ ;_-@_ "/>
    <numFmt numFmtId="171" formatCode="_-[$$-409]* #,##0_ ;_-[$$-409]* \-#,##0\ ;_-[$$-409]* &quot;-&quot;??_ ;_-@_ "/>
    <numFmt numFmtId="172" formatCode="_-&quot;$&quot;\ * #,##0.00_-;\-&quot;$&quot;\ * #,##0.00_-;_-&quot;$&quot;\ * &quot;-&quot;_-;_-@_-"/>
    <numFmt numFmtId="173" formatCode="_-&quot;$&quot;\ * #,##0_-;\-&quot;$&quot;\ * #,##0_-;_-&quot;$&quot;\ * &quot;-&quot;_-;_-@_-"/>
    <numFmt numFmtId="175" formatCode="_-[$$-240A]\ * #,##0.00_-;\-[$$-240A]\ * #,##0.00_-;_-[$$-240A]\ * &quot;-&quot;??_-;_-@_-"/>
  </numFmts>
  <fonts count="71">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sz val="16"/>
      <color theme="1"/>
      <name val="Aptos Narrow"/>
      <family val="2"/>
      <scheme val="minor"/>
    </font>
    <font>
      <b/>
      <sz val="18"/>
      <color theme="0"/>
      <name val="Aptos Narrow"/>
      <family val="2"/>
      <scheme val="minor"/>
    </font>
    <font>
      <sz val="16"/>
      <color rgb="FF000000"/>
      <name val="Aptos Narrow"/>
      <family val="2"/>
      <scheme val="minor"/>
    </font>
    <font>
      <b/>
      <sz val="11"/>
      <color theme="1"/>
      <name val="Aptos Narrow"/>
      <family val="2"/>
      <scheme val="minor"/>
    </font>
    <font>
      <u/>
      <sz val="11"/>
      <color theme="10"/>
      <name val="Aptos Narrow"/>
      <family val="2"/>
      <scheme val="minor"/>
    </font>
    <font>
      <b/>
      <sz val="20"/>
      <color theme="0"/>
      <name val="Aptos Narrow"/>
      <family val="2"/>
      <scheme val="minor"/>
    </font>
    <font>
      <b/>
      <sz val="24"/>
      <color theme="1"/>
      <name val="Aptos Narrow"/>
      <family val="2"/>
      <scheme val="minor"/>
    </font>
    <font>
      <sz val="10"/>
      <color theme="1"/>
      <name val="Aptos Narrow"/>
      <scheme val="minor"/>
    </font>
    <font>
      <sz val="10"/>
      <name val="Aptos Narrow"/>
      <scheme val="minor"/>
    </font>
    <font>
      <u/>
      <sz val="10"/>
      <color theme="10"/>
      <name val="Aptos Narrow"/>
      <scheme val="minor"/>
    </font>
    <font>
      <sz val="10"/>
      <color rgb="FF000000"/>
      <name val="Aptos Narrow"/>
      <scheme val="minor"/>
    </font>
    <font>
      <sz val="10"/>
      <color theme="4"/>
      <name val="Aptos Narrow"/>
      <scheme val="minor"/>
    </font>
    <font>
      <sz val="10"/>
      <color rgb="FF0C769E"/>
      <name val="Aptos Narrow"/>
      <scheme val="minor"/>
    </font>
    <font>
      <sz val="10"/>
      <color rgb="FF156082"/>
      <name val="Aptos Narrow"/>
      <scheme val="minor"/>
    </font>
    <font>
      <sz val="10"/>
      <color rgb="FFFF0000"/>
      <name val="Aptos Narrow"/>
      <scheme val="minor"/>
    </font>
    <font>
      <sz val="18"/>
      <name val="Garamond"/>
      <family val="1"/>
    </font>
    <font>
      <sz val="18"/>
      <color rgb="FF000000"/>
      <name val="Aptos Narrow"/>
      <family val="2"/>
    </font>
    <font>
      <sz val="18"/>
      <color rgb="FF000000"/>
      <name val="Garamond"/>
      <family val="1"/>
    </font>
    <font>
      <sz val="18"/>
      <name val="Garamond"/>
      <charset val="1"/>
    </font>
    <font>
      <sz val="18"/>
      <name val="WordVisiCarriageReturn_MSFontSe"/>
      <charset val="1"/>
    </font>
    <font>
      <sz val="20"/>
      <color rgb="FF000000"/>
      <name val="Garamond"/>
    </font>
    <font>
      <sz val="18"/>
      <color rgb="FF000000"/>
      <name val="Aptos Narrow"/>
      <scheme val="minor"/>
    </font>
    <font>
      <sz val="18"/>
      <name val="Aptos Narrow"/>
      <scheme val="minor"/>
    </font>
    <font>
      <sz val="18"/>
      <color theme="1"/>
      <name val="Aptos Narrow"/>
      <scheme val="minor"/>
    </font>
    <font>
      <sz val="11"/>
      <color theme="1"/>
      <name val="Aptos Narrow"/>
      <scheme val="minor"/>
    </font>
    <font>
      <sz val="18"/>
      <color theme="1"/>
      <name val="Aptos Narrow"/>
      <family val="2"/>
      <scheme val="minor"/>
    </font>
    <font>
      <sz val="16"/>
      <color rgb="FF000000"/>
      <name val="Aptos Narrow"/>
      <family val="2"/>
    </font>
    <font>
      <sz val="18"/>
      <color rgb="FF000000"/>
      <name val="Garamond"/>
      <charset val="1"/>
    </font>
    <font>
      <sz val="20"/>
      <color rgb="FF000000"/>
      <name val="Garamond"/>
      <charset val="1"/>
    </font>
    <font>
      <b/>
      <sz val="18"/>
      <color rgb="FFFFFFFF"/>
      <name val="Aptos Narrow"/>
      <family val="2"/>
    </font>
    <font>
      <sz val="18"/>
      <color rgb="FFFFFFFF"/>
      <name val="Aptos Narrow"/>
      <family val="2"/>
    </font>
    <font>
      <sz val="18"/>
      <name val="Aptos Narrow"/>
      <family val="2"/>
    </font>
    <font>
      <b/>
      <sz val="18"/>
      <color theme="1"/>
      <name val="Aptos Narrow"/>
      <scheme val="minor"/>
    </font>
    <font>
      <sz val="11"/>
      <color rgb="FF000000"/>
      <name val="Garamond"/>
      <charset val="1"/>
    </font>
    <font>
      <b/>
      <sz val="25"/>
      <color rgb="FFFF0000"/>
      <name val="Aptos Narrow"/>
      <scheme val="minor"/>
    </font>
    <font>
      <sz val="22"/>
      <color theme="1"/>
      <name val="Aptos Narrow"/>
      <family val="2"/>
      <scheme val="minor"/>
    </font>
    <font>
      <sz val="20"/>
      <color rgb="FF000000"/>
      <name val="Garamond"/>
      <family val="1"/>
    </font>
    <font>
      <b/>
      <sz val="28"/>
      <color theme="1"/>
      <name val="Aptos Narrow"/>
      <family val="2"/>
      <scheme val="minor"/>
    </font>
    <font>
      <b/>
      <sz val="20"/>
      <color rgb="FFFF0000"/>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sz val="11"/>
      <color theme="0"/>
      <name val="Garamond"/>
      <family val="1"/>
    </font>
    <font>
      <b/>
      <sz val="12"/>
      <color theme="1"/>
      <name val="Arial"/>
      <family val="2"/>
    </font>
    <font>
      <sz val="12"/>
      <color theme="1"/>
      <name val="Arial"/>
      <family val="2"/>
    </font>
  </fonts>
  <fills count="48">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rgb="FFFFFFFF"/>
        <bgColor rgb="FF000000"/>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rgb="FFE8E8E8"/>
        <bgColor rgb="FF000000"/>
      </patternFill>
    </fill>
    <fill>
      <patternFill patternType="solid">
        <fgColor rgb="FF215C98"/>
        <bgColor rgb="FF000000"/>
      </patternFill>
    </fill>
    <fill>
      <patternFill patternType="solid">
        <fgColor rgb="FF356BA1"/>
        <bgColor rgb="FF000000"/>
      </patternFill>
    </fill>
    <fill>
      <patternFill patternType="solid">
        <fgColor rgb="FF595959"/>
        <bgColor rgb="FF000000"/>
      </patternFill>
    </fill>
    <fill>
      <patternFill patternType="solid">
        <fgColor rgb="FF262626"/>
        <bgColor rgb="FF000000"/>
      </patternFill>
    </fill>
    <fill>
      <patternFill patternType="solid">
        <fgColor rgb="FFF2F2F2"/>
        <bgColor rgb="FF000000"/>
      </patternFill>
    </fill>
    <fill>
      <patternFill patternType="solid">
        <fgColor rgb="FFBFBFBF"/>
        <bgColor rgb="FF000000"/>
      </patternFill>
    </fill>
    <fill>
      <patternFill patternType="solid">
        <fgColor rgb="FF0F9ED5"/>
        <bgColor rgb="FF000000"/>
      </patternFill>
    </fill>
    <fill>
      <patternFill patternType="solid">
        <fgColor theme="1" tint="0.499984740745262"/>
        <bgColor indexed="64"/>
      </patternFill>
    </fill>
    <fill>
      <patternFill patternType="solid">
        <fgColor theme="0" tint="-0.14999847407452621"/>
        <bgColor rgb="FF000000"/>
      </patternFill>
    </fill>
    <fill>
      <patternFill patternType="solid">
        <fgColor theme="7" tint="0.79998168889431442"/>
        <bgColor rgb="FF000000"/>
      </patternFill>
    </fill>
    <fill>
      <patternFill patternType="solid">
        <fgColor theme="9" tint="0.79998168889431442"/>
        <bgColor rgb="FF000000"/>
      </patternFill>
    </fill>
    <fill>
      <patternFill patternType="solid">
        <fgColor theme="5" tint="0.59999389629810485"/>
        <bgColor indexed="64"/>
      </patternFill>
    </fill>
    <fill>
      <patternFill patternType="solid">
        <fgColor theme="3" tint="0.249977111117893"/>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indexed="64"/>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indexed="64"/>
      </bottom>
      <diagonal/>
    </border>
    <border>
      <left/>
      <right style="thin">
        <color rgb="FF000000"/>
      </right>
      <top style="thin">
        <color indexed="64"/>
      </top>
      <bottom style="thin">
        <color indexed="64"/>
      </bottom>
      <diagonal/>
    </border>
    <border>
      <left/>
      <right style="thin">
        <color rgb="FF000000"/>
      </right>
      <top style="thin">
        <color rgb="FF000000"/>
      </top>
      <bottom/>
      <diagonal/>
    </border>
  </borders>
  <cellStyleXfs count="7">
    <xf numFmtId="0" fontId="0" fillId="0" borderId="0"/>
    <xf numFmtId="166"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6" fontId="1" fillId="0" borderId="0" applyFont="0" applyFill="0" applyBorder="0" applyAlignment="0" applyProtection="0"/>
    <xf numFmtId="0" fontId="29" fillId="0" borderId="0" applyNumberFormat="0" applyFill="0" applyBorder="0" applyAlignment="0" applyProtection="0"/>
  </cellStyleXfs>
  <cellXfs count="552">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6"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6"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6" fontId="1" fillId="11" borderId="1" xfId="1" applyFont="1" applyFill="1" applyBorder="1" applyAlignment="1" applyProtection="1">
      <alignment vertical="center" wrapText="1"/>
      <protection locked="0"/>
    </xf>
    <xf numFmtId="166" fontId="1" fillId="11" borderId="1" xfId="1" applyFont="1" applyFill="1" applyBorder="1" applyAlignment="1">
      <alignment vertical="center" wrapText="1"/>
    </xf>
    <xf numFmtId="166"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6" fontId="1" fillId="6" borderId="1" xfId="1" applyFont="1" applyFill="1" applyBorder="1" applyAlignment="1" applyProtection="1">
      <alignment vertical="center" wrapText="1"/>
      <protection locked="0"/>
    </xf>
    <xf numFmtId="166" fontId="1" fillId="6" borderId="1" xfId="1" applyFont="1" applyFill="1" applyBorder="1" applyAlignment="1">
      <alignment vertical="center" wrapText="1"/>
    </xf>
    <xf numFmtId="166"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6" fontId="1" fillId="15" borderId="1" xfId="1" applyFont="1" applyFill="1" applyBorder="1" applyAlignment="1">
      <alignment vertical="center" wrapText="1"/>
    </xf>
    <xf numFmtId="166"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7"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8"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8" fontId="1" fillId="10" borderId="1" xfId="1" applyNumberFormat="1" applyFont="1" applyFill="1" applyBorder="1" applyAlignment="1">
      <alignment vertical="center" wrapText="1"/>
    </xf>
    <xf numFmtId="0" fontId="0" fillId="18" borderId="0" xfId="0" applyFill="1" applyAlignment="1">
      <alignment vertical="center" wrapText="1"/>
    </xf>
    <xf numFmtId="166"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7" fontId="1" fillId="0" borderId="1" xfId="1" applyNumberFormat="1" applyFont="1" applyFill="1" applyBorder="1" applyAlignment="1">
      <alignment vertical="center" wrapText="1"/>
    </xf>
    <xf numFmtId="167" fontId="0" fillId="0" borderId="1" xfId="0" applyNumberFormat="1" applyBorder="1" applyAlignment="1">
      <alignment vertical="center" wrapText="1"/>
    </xf>
    <xf numFmtId="166"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6"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5" fillId="0" borderId="1" xfId="0" applyFont="1" applyBorder="1" applyAlignment="1" applyProtection="1">
      <alignment vertical="center" wrapText="1"/>
      <protection locked="0"/>
    </xf>
    <xf numFmtId="0" fontId="27" fillId="6" borderId="1" xfId="0" applyFont="1" applyFill="1" applyBorder="1" applyAlignment="1" applyProtection="1">
      <alignment vertical="center" wrapText="1"/>
      <protection locked="0"/>
    </xf>
    <xf numFmtId="10" fontId="25" fillId="15" borderId="1" xfId="2" applyNumberFormat="1" applyFont="1" applyFill="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27" fillId="10" borderId="1" xfId="0" applyFont="1" applyFill="1" applyBorder="1" applyAlignment="1" applyProtection="1">
      <alignment vertical="center" wrapText="1"/>
      <protection locked="0"/>
    </xf>
    <xf numFmtId="0" fontId="27" fillId="19" borderId="1" xfId="0" applyFont="1" applyFill="1" applyBorder="1" applyAlignment="1" applyProtection="1">
      <alignment vertical="center" wrapText="1"/>
      <protection locked="0"/>
    </xf>
    <xf numFmtId="0" fontId="6" fillId="0" borderId="1" xfId="3"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28"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5" fillId="0" borderId="0" xfId="0" applyFont="1" applyAlignment="1">
      <alignment wrapText="1"/>
    </xf>
    <xf numFmtId="0" fontId="30" fillId="3" borderId="1" xfId="0" applyFont="1" applyFill="1" applyBorder="1" applyAlignment="1">
      <alignment horizontal="center" vertical="center" wrapText="1"/>
    </xf>
    <xf numFmtId="0" fontId="30" fillId="8"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30" fillId="18" borderId="1" xfId="0" applyFont="1" applyFill="1" applyBorder="1" applyAlignment="1">
      <alignment horizontal="center" vertical="center" wrapText="1"/>
    </xf>
    <xf numFmtId="0" fontId="6" fillId="0" borderId="1" xfId="3" applyFont="1" applyBorder="1" applyAlignment="1">
      <alignment horizontal="center" vertical="center" wrapText="1"/>
    </xf>
    <xf numFmtId="167" fontId="27" fillId="10" borderId="1" xfId="1" applyNumberFormat="1" applyFont="1" applyFill="1" applyBorder="1" applyAlignment="1" applyProtection="1">
      <alignment vertical="center" wrapText="1"/>
      <protection locked="0"/>
    </xf>
    <xf numFmtId="167" fontId="27" fillId="10" borderId="1" xfId="1" applyNumberFormat="1" applyFont="1" applyFill="1" applyBorder="1" applyAlignment="1">
      <alignment vertical="center" wrapText="1"/>
    </xf>
    <xf numFmtId="167" fontId="27" fillId="19" borderId="1" xfId="1" applyNumberFormat="1" applyFont="1" applyFill="1" applyBorder="1" applyAlignment="1" applyProtection="1">
      <alignment vertical="center" wrapText="1"/>
      <protection locked="0"/>
    </xf>
    <xf numFmtId="167" fontId="27" fillId="19" borderId="1" xfId="1" applyNumberFormat="1" applyFont="1" applyFill="1" applyBorder="1" applyAlignment="1">
      <alignment vertical="center" wrapText="1"/>
    </xf>
    <xf numFmtId="167" fontId="27" fillId="6" borderId="1" xfId="1" applyNumberFormat="1" applyFont="1" applyFill="1" applyBorder="1" applyAlignment="1" applyProtection="1">
      <alignment vertical="center" wrapText="1"/>
      <protection locked="0"/>
    </xf>
    <xf numFmtId="167" fontId="27" fillId="6" borderId="1" xfId="1" applyNumberFormat="1" applyFont="1" applyFill="1" applyBorder="1" applyAlignment="1">
      <alignment vertical="center" wrapText="1"/>
    </xf>
    <xf numFmtId="167" fontId="27" fillId="15" borderId="1" xfId="1" applyNumberFormat="1" applyFont="1" applyFill="1" applyBorder="1" applyAlignment="1">
      <alignment vertical="center" wrapText="1"/>
    </xf>
    <xf numFmtId="167" fontId="25" fillId="15" borderId="1" xfId="1" applyNumberFormat="1" applyFont="1" applyFill="1" applyBorder="1" applyAlignment="1">
      <alignment vertical="center" wrapText="1"/>
    </xf>
    <xf numFmtId="0" fontId="31" fillId="0" borderId="11" xfId="3" applyFont="1" applyBorder="1" applyAlignment="1">
      <alignment vertical="center" wrapText="1"/>
    </xf>
    <xf numFmtId="0" fontId="32" fillId="0" borderId="1" xfId="0" applyFont="1" applyBorder="1" applyAlignment="1" applyProtection="1">
      <alignment vertical="center" wrapText="1"/>
      <protection locked="0"/>
    </xf>
    <xf numFmtId="0" fontId="32" fillId="0" borderId="1" xfId="0" applyFont="1" applyBorder="1" applyAlignment="1">
      <alignment horizontal="left" vertical="center" wrapText="1"/>
    </xf>
    <xf numFmtId="0" fontId="33" fillId="7" borderId="1" xfId="0" applyFont="1" applyFill="1" applyBorder="1" applyAlignment="1" applyProtection="1">
      <alignment horizontal="center" vertical="center" wrapText="1"/>
      <protection locked="0"/>
    </xf>
    <xf numFmtId="0" fontId="32" fillId="0" borderId="1" xfId="0" applyFont="1" applyBorder="1" applyAlignment="1" applyProtection="1">
      <alignment horizontal="center" vertical="center" wrapText="1"/>
      <protection locked="0"/>
    </xf>
    <xf numFmtId="0" fontId="33" fillId="26" borderId="1" xfId="0" applyFont="1" applyFill="1" applyBorder="1" applyAlignment="1" applyProtection="1">
      <alignment horizontal="center" vertical="center" wrapText="1"/>
      <protection locked="0"/>
    </xf>
    <xf numFmtId="14" fontId="32" fillId="27" borderId="1" xfId="1" applyNumberFormat="1" applyFont="1" applyFill="1" applyBorder="1" applyAlignment="1" applyProtection="1">
      <alignment vertical="center" wrapText="1"/>
      <protection locked="0"/>
    </xf>
    <xf numFmtId="0" fontId="32" fillId="27" borderId="28" xfId="0" applyFont="1" applyFill="1" applyBorder="1" applyAlignment="1" applyProtection="1">
      <alignment horizontal="center" vertical="center" wrapText="1"/>
      <protection locked="0"/>
    </xf>
    <xf numFmtId="0" fontId="32" fillId="27" borderId="1" xfId="0" applyFont="1" applyFill="1" applyBorder="1" applyAlignment="1" applyProtection="1">
      <alignment horizontal="center" vertical="center" wrapText="1"/>
      <protection locked="0"/>
    </xf>
    <xf numFmtId="166" fontId="32" fillId="27" borderId="1" xfId="1" applyFont="1" applyFill="1" applyBorder="1" applyAlignment="1" applyProtection="1">
      <alignment vertical="center" wrapText="1"/>
      <protection locked="0"/>
    </xf>
    <xf numFmtId="166" fontId="32" fillId="10" borderId="1" xfId="1" applyFont="1" applyFill="1" applyBorder="1" applyAlignment="1" applyProtection="1">
      <alignment vertical="center" wrapText="1"/>
    </xf>
    <xf numFmtId="168" fontId="32" fillId="10" borderId="1" xfId="1" applyNumberFormat="1" applyFont="1" applyFill="1" applyBorder="1" applyAlignment="1" applyProtection="1">
      <alignment vertical="center" wrapText="1"/>
    </xf>
    <xf numFmtId="0" fontId="33" fillId="12" borderId="1" xfId="0" applyFont="1" applyFill="1" applyBorder="1" applyAlignment="1" applyProtection="1">
      <alignment horizontal="center" vertical="center" wrapText="1"/>
      <protection locked="0"/>
    </xf>
    <xf numFmtId="14" fontId="32" fillId="12" borderId="1" xfId="1" applyNumberFormat="1" applyFont="1" applyFill="1" applyBorder="1" applyAlignment="1" applyProtection="1">
      <alignment vertical="center" wrapText="1"/>
      <protection locked="0"/>
    </xf>
    <xf numFmtId="0" fontId="34" fillId="12" borderId="28" xfId="6" applyFont="1" applyFill="1" applyBorder="1"/>
    <xf numFmtId="0" fontId="32" fillId="12" borderId="1" xfId="0" applyFont="1" applyFill="1" applyBorder="1" applyAlignment="1" applyProtection="1">
      <alignment horizontal="center" vertical="center" wrapText="1"/>
      <protection locked="0"/>
    </xf>
    <xf numFmtId="0" fontId="32" fillId="12" borderId="28" xfId="0" applyFont="1" applyFill="1" applyBorder="1" applyAlignment="1" applyProtection="1">
      <alignment vertical="center" wrapText="1"/>
      <protection locked="0"/>
    </xf>
    <xf numFmtId="166" fontId="32" fillId="12" borderId="1" xfId="1" applyFont="1" applyFill="1" applyBorder="1" applyAlignment="1" applyProtection="1">
      <alignment vertical="center" wrapText="1"/>
      <protection locked="0"/>
    </xf>
    <xf numFmtId="166" fontId="32" fillId="21" borderId="1" xfId="1" applyFont="1" applyFill="1" applyBorder="1" applyAlignment="1" applyProtection="1">
      <alignment vertical="center" wrapText="1"/>
    </xf>
    <xf numFmtId="168" fontId="32" fillId="21" borderId="1" xfId="1" applyNumberFormat="1" applyFont="1" applyFill="1" applyBorder="1" applyAlignment="1" applyProtection="1">
      <alignment vertical="center" wrapText="1"/>
    </xf>
    <xf numFmtId="0" fontId="33" fillId="28" borderId="1" xfId="0" applyFont="1" applyFill="1" applyBorder="1" applyAlignment="1" applyProtection="1">
      <alignment horizontal="center" vertical="center" wrapText="1"/>
      <protection locked="0"/>
    </xf>
    <xf numFmtId="14" fontId="32" fillId="28" borderId="1" xfId="1" applyNumberFormat="1" applyFont="1" applyFill="1" applyBorder="1" applyAlignment="1" applyProtection="1">
      <alignment vertical="center" wrapText="1"/>
      <protection locked="0"/>
    </xf>
    <xf numFmtId="166" fontId="32" fillId="28" borderId="26" xfId="1" applyFont="1" applyFill="1" applyBorder="1" applyAlignment="1" applyProtection="1">
      <alignment horizontal="justify" vertical="center" wrapText="1"/>
      <protection locked="0"/>
    </xf>
    <xf numFmtId="0" fontId="32" fillId="28" borderId="1" xfId="0" applyFont="1" applyFill="1" applyBorder="1" applyAlignment="1" applyProtection="1">
      <alignment horizontal="center" vertical="center" wrapText="1"/>
      <protection locked="0"/>
    </xf>
    <xf numFmtId="166" fontId="32" fillId="28" borderId="1" xfId="1" applyFont="1" applyFill="1" applyBorder="1" applyAlignment="1" applyProtection="1">
      <alignment horizontal="justify" vertical="center" wrapText="1"/>
      <protection locked="0"/>
    </xf>
    <xf numFmtId="166" fontId="32" fillId="28" borderId="1" xfId="1" applyFont="1" applyFill="1" applyBorder="1" applyAlignment="1" applyProtection="1">
      <alignment vertical="center" wrapText="1"/>
      <protection locked="0"/>
    </xf>
    <xf numFmtId="166" fontId="32" fillId="28" borderId="28" xfId="1" applyFont="1" applyFill="1" applyBorder="1" applyAlignment="1" applyProtection="1">
      <alignment vertical="center" wrapText="1"/>
      <protection locked="0"/>
    </xf>
    <xf numFmtId="166" fontId="32" fillId="6" borderId="1" xfId="1" applyFont="1" applyFill="1" applyBorder="1" applyAlignment="1" applyProtection="1">
      <alignment vertical="center" wrapText="1"/>
    </xf>
    <xf numFmtId="168" fontId="32" fillId="6" borderId="1" xfId="1" applyNumberFormat="1" applyFont="1" applyFill="1" applyBorder="1" applyAlignment="1" applyProtection="1">
      <alignment vertical="center" wrapText="1"/>
    </xf>
    <xf numFmtId="166" fontId="32" fillId="15" borderId="1" xfId="1" applyFont="1" applyFill="1" applyBorder="1" applyAlignment="1" applyProtection="1">
      <alignment vertical="center" wrapText="1"/>
    </xf>
    <xf numFmtId="10" fontId="32" fillId="15" borderId="1" xfId="2" applyNumberFormat="1" applyFont="1" applyFill="1" applyBorder="1" applyAlignment="1" applyProtection="1">
      <alignment horizontal="center" vertical="center" wrapText="1"/>
    </xf>
    <xf numFmtId="0" fontId="35" fillId="24" borderId="1" xfId="0" applyFont="1" applyFill="1" applyBorder="1" applyAlignment="1">
      <alignment wrapText="1"/>
    </xf>
    <xf numFmtId="169" fontId="32" fillId="21" borderId="1" xfId="1" applyNumberFormat="1" applyFont="1" applyFill="1" applyBorder="1" applyAlignment="1" applyProtection="1">
      <alignment vertical="center" wrapText="1"/>
    </xf>
    <xf numFmtId="14" fontId="35" fillId="25" borderId="1" xfId="1" applyNumberFormat="1" applyFont="1" applyFill="1" applyBorder="1" applyAlignment="1" applyProtection="1">
      <alignment vertical="center" wrapText="1"/>
      <protection locked="0"/>
    </xf>
    <xf numFmtId="166" fontId="35" fillId="23" borderId="6" xfId="1" applyFont="1" applyFill="1" applyBorder="1" applyAlignment="1" applyProtection="1">
      <alignment vertical="center" wrapText="1"/>
      <protection locked="0"/>
    </xf>
    <xf numFmtId="0" fontId="35" fillId="22" borderId="1" xfId="0" applyFont="1" applyFill="1" applyBorder="1" applyAlignment="1" applyProtection="1">
      <alignment vertical="center" wrapText="1"/>
      <protection locked="0"/>
    </xf>
    <xf numFmtId="166" fontId="35" fillId="22" borderId="6" xfId="1" applyFont="1" applyFill="1" applyBorder="1" applyAlignment="1" applyProtection="1">
      <alignment vertical="center" wrapText="1"/>
      <protection locked="0"/>
    </xf>
    <xf numFmtId="0" fontId="33" fillId="26" borderId="28" xfId="0" applyFont="1" applyFill="1" applyBorder="1" applyAlignment="1" applyProtection="1">
      <alignment horizontal="center" vertical="center" wrapText="1"/>
      <protection locked="0"/>
    </xf>
    <xf numFmtId="14" fontId="32" fillId="27" borderId="28" xfId="1" applyNumberFormat="1" applyFont="1" applyFill="1" applyBorder="1" applyAlignment="1" applyProtection="1">
      <alignment vertical="center" wrapText="1"/>
      <protection locked="0"/>
    </xf>
    <xf numFmtId="14" fontId="32" fillId="27" borderId="27" xfId="1" applyNumberFormat="1" applyFont="1" applyFill="1" applyBorder="1" applyAlignment="1" applyProtection="1">
      <alignment vertical="center" wrapText="1"/>
      <protection locked="0"/>
    </xf>
    <xf numFmtId="166" fontId="36" fillId="27" borderId="28" xfId="1" applyFont="1" applyFill="1" applyBorder="1" applyAlignment="1" applyProtection="1">
      <alignment vertical="center" wrapText="1"/>
      <protection locked="0"/>
    </xf>
    <xf numFmtId="166" fontId="36" fillId="10" borderId="1" xfId="1" applyFont="1" applyFill="1" applyBorder="1" applyAlignment="1">
      <alignment vertical="center" wrapText="1"/>
    </xf>
    <xf numFmtId="168" fontId="36" fillId="10" borderId="1" xfId="1" applyNumberFormat="1" applyFont="1" applyFill="1" applyBorder="1" applyAlignment="1">
      <alignment vertical="center" wrapText="1"/>
    </xf>
    <xf numFmtId="0" fontId="33" fillId="12" borderId="28" xfId="0" applyFont="1" applyFill="1" applyBorder="1" applyAlignment="1" applyProtection="1">
      <alignment horizontal="center" vertical="center" wrapText="1"/>
      <protection locked="0"/>
    </xf>
    <xf numFmtId="14" fontId="32" fillId="12" borderId="28" xfId="1" applyNumberFormat="1" applyFont="1" applyFill="1" applyBorder="1" applyAlignment="1" applyProtection="1">
      <alignment vertical="center" wrapText="1"/>
      <protection locked="0"/>
    </xf>
    <xf numFmtId="0" fontId="34" fillId="12" borderId="28" xfId="6" applyFont="1" applyFill="1" applyBorder="1" applyProtection="1">
      <protection locked="0"/>
    </xf>
    <xf numFmtId="0" fontId="32" fillId="12" borderId="28" xfId="0" applyFont="1" applyFill="1" applyBorder="1" applyAlignment="1" applyProtection="1">
      <alignment horizontal="center" vertical="center" wrapText="1"/>
      <protection locked="0"/>
    </xf>
    <xf numFmtId="166" fontId="32" fillId="12" borderId="28" xfId="1" applyFont="1" applyFill="1" applyBorder="1" applyAlignment="1" applyProtection="1">
      <alignment vertical="center" wrapText="1"/>
      <protection locked="0"/>
    </xf>
    <xf numFmtId="166" fontId="32" fillId="19" borderId="1" xfId="1" applyFont="1" applyFill="1" applyBorder="1" applyAlignment="1" applyProtection="1">
      <alignment vertical="center" wrapText="1"/>
    </xf>
    <xf numFmtId="168" fontId="32" fillId="19" borderId="1" xfId="1" applyNumberFormat="1" applyFont="1" applyFill="1" applyBorder="1" applyAlignment="1" applyProtection="1">
      <alignment vertical="center" wrapText="1"/>
    </xf>
    <xf numFmtId="0" fontId="33" fillId="28" borderId="26" xfId="0" applyFont="1" applyFill="1" applyBorder="1" applyAlignment="1" applyProtection="1">
      <alignment horizontal="center" vertical="center" wrapText="1"/>
      <protection locked="0"/>
    </xf>
    <xf numFmtId="14" fontId="32" fillId="28" borderId="28" xfId="1" applyNumberFormat="1" applyFont="1" applyFill="1" applyBorder="1" applyAlignment="1" applyProtection="1">
      <alignment vertical="center" wrapText="1"/>
      <protection locked="0"/>
    </xf>
    <xf numFmtId="14" fontId="32" fillId="28" borderId="0" xfId="1" applyNumberFormat="1" applyFont="1" applyFill="1" applyBorder="1" applyAlignment="1" applyProtection="1">
      <alignment vertical="center" wrapText="1"/>
      <protection locked="0"/>
    </xf>
    <xf numFmtId="0" fontId="32" fillId="28" borderId="26" xfId="0" applyFont="1" applyFill="1" applyBorder="1" applyAlignment="1" applyProtection="1">
      <alignment horizontal="center" vertical="center" wrapText="1"/>
      <protection locked="0"/>
    </xf>
    <xf numFmtId="14" fontId="32" fillId="28" borderId="26" xfId="1" applyNumberFormat="1" applyFont="1" applyFill="1" applyBorder="1" applyAlignment="1" applyProtection="1">
      <alignment vertical="center" wrapText="1"/>
      <protection locked="0"/>
    </xf>
    <xf numFmtId="166" fontId="32" fillId="28" borderId="7" xfId="1" applyFont="1" applyFill="1" applyBorder="1" applyAlignment="1" applyProtection="1">
      <alignment vertical="center" wrapText="1"/>
      <protection locked="0"/>
    </xf>
    <xf numFmtId="0" fontId="35" fillId="29" borderId="28" xfId="0" applyFont="1" applyFill="1" applyBorder="1" applyAlignment="1">
      <alignment horizontal="center" vertical="center" wrapText="1"/>
    </xf>
    <xf numFmtId="0" fontId="32" fillId="0" borderId="0" xfId="0" applyFont="1"/>
    <xf numFmtId="0" fontId="33" fillId="29" borderId="28" xfId="0" applyFont="1" applyFill="1" applyBorder="1" applyAlignment="1">
      <alignment horizontal="center" vertical="center" wrapText="1"/>
    </xf>
    <xf numFmtId="0" fontId="35" fillId="0" borderId="28" xfId="0" applyFont="1" applyBorder="1" applyAlignment="1">
      <alignment horizontal="center" vertical="center" wrapText="1"/>
    </xf>
    <xf numFmtId="0" fontId="33" fillId="30" borderId="28" xfId="0" applyFont="1" applyFill="1" applyBorder="1" applyAlignment="1">
      <alignment horizontal="center" vertical="center" wrapText="1"/>
    </xf>
    <xf numFmtId="14" fontId="35" fillId="30" borderId="28" xfId="0" applyNumberFormat="1" applyFont="1" applyFill="1" applyBorder="1" applyAlignment="1">
      <alignment horizontal="center" vertical="center" wrapText="1"/>
    </xf>
    <xf numFmtId="0" fontId="34" fillId="30" borderId="28" xfId="6" applyFont="1" applyFill="1" applyBorder="1" applyAlignment="1">
      <alignment horizontal="center" vertical="center" wrapText="1"/>
    </xf>
    <xf numFmtId="0" fontId="35" fillId="30" borderId="28" xfId="0" applyFont="1" applyFill="1" applyBorder="1" applyAlignment="1">
      <alignment horizontal="center" vertical="center" wrapText="1"/>
    </xf>
    <xf numFmtId="4" fontId="35" fillId="30" borderId="28" xfId="0" applyNumberFormat="1" applyFont="1" applyFill="1" applyBorder="1" applyAlignment="1">
      <alignment horizontal="center" vertical="center" wrapText="1"/>
    </xf>
    <xf numFmtId="165" fontId="37" fillId="31" borderId="28" xfId="0" applyNumberFormat="1" applyFont="1" applyFill="1" applyBorder="1" applyAlignment="1">
      <alignment horizontal="center" vertical="center" wrapText="1"/>
    </xf>
    <xf numFmtId="164" fontId="37" fillId="31" borderId="28" xfId="0" applyNumberFormat="1" applyFont="1" applyFill="1" applyBorder="1" applyAlignment="1">
      <alignment horizontal="center" vertical="center" wrapText="1"/>
    </xf>
    <xf numFmtId="164" fontId="38" fillId="31" borderId="28" xfId="0" applyNumberFormat="1" applyFont="1" applyFill="1" applyBorder="1" applyAlignment="1">
      <alignment horizontal="center" vertical="center" wrapText="1"/>
    </xf>
    <xf numFmtId="0" fontId="33" fillId="23" borderId="28" xfId="0" applyFont="1" applyFill="1" applyBorder="1" applyAlignment="1">
      <alignment horizontal="center" vertical="center" wrapText="1"/>
    </xf>
    <xf numFmtId="14" fontId="35" fillId="23" borderId="28" xfId="0" applyNumberFormat="1" applyFont="1" applyFill="1" applyBorder="1" applyAlignment="1">
      <alignment horizontal="center" vertical="center" wrapText="1"/>
    </xf>
    <xf numFmtId="0" fontId="34" fillId="23" borderId="28" xfId="6" applyFont="1" applyFill="1" applyBorder="1" applyAlignment="1">
      <alignment horizontal="center" vertical="center" wrapText="1"/>
    </xf>
    <xf numFmtId="0" fontId="35" fillId="23" borderId="28" xfId="0" applyFont="1" applyFill="1" applyBorder="1" applyAlignment="1">
      <alignment horizontal="center" vertical="center" wrapText="1"/>
    </xf>
    <xf numFmtId="4" fontId="35" fillId="23" borderId="28" xfId="0" applyNumberFormat="1" applyFont="1" applyFill="1" applyBorder="1" applyAlignment="1">
      <alignment horizontal="center" vertical="center" wrapText="1"/>
    </xf>
    <xf numFmtId="165" fontId="37" fillId="32" borderId="28" xfId="0" applyNumberFormat="1" applyFont="1" applyFill="1" applyBorder="1" applyAlignment="1">
      <alignment horizontal="center" vertical="center" wrapText="1"/>
    </xf>
    <xf numFmtId="164" fontId="37" fillId="32" borderId="28" xfId="0" applyNumberFormat="1" applyFont="1" applyFill="1" applyBorder="1" applyAlignment="1">
      <alignment horizontal="center" vertical="center" wrapText="1"/>
    </xf>
    <xf numFmtId="164" fontId="35" fillId="32" borderId="28" xfId="0" applyNumberFormat="1" applyFont="1" applyFill="1" applyBorder="1" applyAlignment="1">
      <alignment horizontal="center" vertical="center" wrapText="1"/>
    </xf>
    <xf numFmtId="0" fontId="35" fillId="33" borderId="28" xfId="0" applyFont="1" applyFill="1" applyBorder="1" applyAlignment="1">
      <alignment horizontal="center" vertical="center" wrapText="1"/>
    </xf>
    <xf numFmtId="14" fontId="35" fillId="33" borderId="28" xfId="0" applyNumberFormat="1" applyFont="1" applyFill="1" applyBorder="1" applyAlignment="1">
      <alignment horizontal="center" vertical="center" wrapText="1"/>
    </xf>
    <xf numFmtId="0" fontId="34" fillId="33" borderId="28" xfId="6" applyFont="1" applyFill="1" applyBorder="1" applyAlignment="1">
      <alignment horizontal="center" vertical="center" wrapText="1"/>
    </xf>
    <xf numFmtId="4" fontId="35" fillId="33" borderId="28" xfId="0" applyNumberFormat="1" applyFont="1" applyFill="1" applyBorder="1" applyAlignment="1">
      <alignment horizontal="center" vertical="center" wrapText="1"/>
    </xf>
    <xf numFmtId="165" fontId="37" fillId="22" borderId="28" xfId="0" applyNumberFormat="1" applyFont="1" applyFill="1" applyBorder="1" applyAlignment="1">
      <alignment horizontal="center" vertical="center" wrapText="1"/>
    </xf>
    <xf numFmtId="164" fontId="37" fillId="22" borderId="28" xfId="0" applyNumberFormat="1" applyFont="1" applyFill="1" applyBorder="1" applyAlignment="1">
      <alignment horizontal="center" vertical="center" wrapText="1"/>
    </xf>
    <xf numFmtId="164" fontId="35" fillId="22" borderId="28" xfId="0" applyNumberFormat="1" applyFont="1" applyFill="1" applyBorder="1" applyAlignment="1">
      <alignment horizontal="center" vertical="center" wrapText="1"/>
    </xf>
    <xf numFmtId="10" fontId="35" fillId="34" borderId="28" xfId="0" applyNumberFormat="1" applyFont="1" applyFill="1" applyBorder="1" applyAlignment="1">
      <alignment horizontal="center" vertical="center" wrapText="1"/>
    </xf>
    <xf numFmtId="165" fontId="39" fillId="31" borderId="28" xfId="0" applyNumberFormat="1" applyFont="1" applyFill="1" applyBorder="1" applyAlignment="1">
      <alignment horizontal="center" vertical="center" wrapText="1"/>
    </xf>
    <xf numFmtId="164" fontId="39" fillId="31" borderId="28" xfId="0" applyNumberFormat="1" applyFont="1" applyFill="1" applyBorder="1" applyAlignment="1">
      <alignment horizontal="center" vertical="center" wrapText="1"/>
    </xf>
    <xf numFmtId="0" fontId="35" fillId="30" borderId="28" xfId="0" applyFont="1" applyFill="1" applyBorder="1" applyAlignment="1">
      <alignment horizontal="justify" vertical="center" wrapText="1"/>
    </xf>
    <xf numFmtId="14" fontId="35" fillId="30" borderId="28" xfId="0" applyNumberFormat="1" applyFont="1" applyFill="1" applyBorder="1" applyAlignment="1">
      <alignment horizontal="justify" vertical="center" wrapText="1"/>
    </xf>
    <xf numFmtId="0" fontId="34" fillId="30" borderId="28" xfId="6" applyFont="1" applyFill="1" applyBorder="1"/>
    <xf numFmtId="0" fontId="35" fillId="30" borderId="29" xfId="0" applyFont="1" applyFill="1" applyBorder="1" applyAlignment="1">
      <alignment horizontal="justify" vertical="center" wrapText="1"/>
    </xf>
    <xf numFmtId="4" fontId="35" fillId="30" borderId="28" xfId="0" applyNumberFormat="1" applyFont="1" applyFill="1" applyBorder="1" applyAlignment="1">
      <alignment horizontal="right" vertical="center" wrapText="1"/>
    </xf>
    <xf numFmtId="0" fontId="35" fillId="23" borderId="28" xfId="0" applyFont="1" applyFill="1" applyBorder="1" applyAlignment="1">
      <alignment horizontal="justify" vertical="center" wrapText="1"/>
    </xf>
    <xf numFmtId="14" fontId="35" fillId="23" borderId="28" xfId="0" applyNumberFormat="1" applyFont="1" applyFill="1" applyBorder="1" applyAlignment="1">
      <alignment horizontal="justify" vertical="center" wrapText="1"/>
    </xf>
    <xf numFmtId="0" fontId="34" fillId="23" borderId="28" xfId="6" applyFont="1" applyFill="1" applyBorder="1"/>
    <xf numFmtId="0" fontId="35" fillId="23" borderId="29" xfId="0" applyFont="1" applyFill="1" applyBorder="1" applyAlignment="1">
      <alignment horizontal="justify" vertical="center" wrapText="1"/>
    </xf>
    <xf numFmtId="4" fontId="35" fillId="23" borderId="28" xfId="0" applyNumberFormat="1" applyFont="1" applyFill="1" applyBorder="1" applyAlignment="1">
      <alignment horizontal="right" vertical="center" wrapText="1"/>
    </xf>
    <xf numFmtId="0" fontId="40" fillId="29" borderId="1" xfId="0" applyFont="1" applyFill="1" applyBorder="1" applyAlignment="1">
      <alignment wrapText="1"/>
    </xf>
    <xf numFmtId="0" fontId="41" fillId="0" borderId="6" xfId="0" applyFont="1" applyBorder="1" applyAlignment="1">
      <alignment wrapText="1"/>
    </xf>
    <xf numFmtId="0" fontId="40" fillId="29" borderId="6" xfId="0" applyFont="1" applyFill="1" applyBorder="1" applyAlignment="1">
      <alignment wrapText="1"/>
    </xf>
    <xf numFmtId="0" fontId="42" fillId="0" borderId="6" xfId="0" applyFont="1" applyBorder="1" applyAlignment="1">
      <alignment wrapText="1"/>
    </xf>
    <xf numFmtId="0" fontId="40" fillId="29" borderId="27" xfId="0" applyFont="1" applyFill="1" applyBorder="1" applyAlignment="1">
      <alignment wrapText="1"/>
    </xf>
    <xf numFmtId="0" fontId="41" fillId="0" borderId="12" xfId="0" applyFont="1" applyBorder="1" applyAlignment="1">
      <alignment wrapText="1"/>
    </xf>
    <xf numFmtId="0" fontId="40" fillId="29" borderId="12" xfId="0" applyFont="1" applyFill="1" applyBorder="1" applyAlignment="1">
      <alignment wrapText="1"/>
    </xf>
    <xf numFmtId="0" fontId="42" fillId="0" borderId="12" xfId="0" applyFont="1" applyBorder="1" applyAlignment="1">
      <alignment wrapText="1"/>
    </xf>
    <xf numFmtId="0" fontId="41" fillId="29" borderId="12" xfId="0" applyFont="1" applyFill="1" applyBorder="1" applyAlignment="1">
      <alignment wrapText="1"/>
    </xf>
    <xf numFmtId="0" fontId="42" fillId="29" borderId="12" xfId="0" applyFont="1" applyFill="1" applyBorder="1" applyAlignment="1">
      <alignment wrapText="1"/>
    </xf>
    <xf numFmtId="0" fontId="40" fillId="0" borderId="27" xfId="0" applyFont="1" applyBorder="1" applyAlignment="1">
      <alignment wrapText="1"/>
    </xf>
    <xf numFmtId="0" fontId="40" fillId="0" borderId="12" xfId="0" applyFont="1" applyBorder="1" applyAlignment="1">
      <alignment wrapText="1"/>
    </xf>
    <xf numFmtId="0" fontId="43" fillId="0" borderId="30" xfId="0" applyFont="1" applyBorder="1" applyAlignment="1">
      <alignment wrapText="1" readingOrder="1"/>
    </xf>
    <xf numFmtId="0" fontId="43" fillId="0" borderId="31" xfId="0" applyFont="1" applyBorder="1" applyAlignment="1">
      <alignment wrapText="1" readingOrder="1"/>
    </xf>
    <xf numFmtId="0" fontId="43" fillId="0" borderId="32" xfId="0" applyFont="1" applyBorder="1" applyAlignment="1">
      <alignment wrapText="1" readingOrder="1"/>
    </xf>
    <xf numFmtId="0" fontId="43" fillId="0" borderId="32" xfId="0" applyFont="1" applyBorder="1" applyAlignment="1">
      <alignment wrapText="1"/>
    </xf>
    <xf numFmtId="0" fontId="45" fillId="0" borderId="28" xfId="0" applyFont="1" applyBorder="1" applyAlignment="1">
      <alignment wrapText="1"/>
    </xf>
    <xf numFmtId="0" fontId="45" fillId="0" borderId="29" xfId="0" applyFont="1" applyBorder="1" applyAlignment="1">
      <alignment wrapText="1"/>
    </xf>
    <xf numFmtId="0" fontId="45" fillId="0" borderId="33" xfId="0" applyFont="1" applyBorder="1" applyAlignment="1">
      <alignment wrapText="1"/>
    </xf>
    <xf numFmtId="0" fontId="45" fillId="0" borderId="31" xfId="0" applyFont="1" applyBorder="1" applyAlignment="1">
      <alignment wrapText="1"/>
    </xf>
    <xf numFmtId="0" fontId="46" fillId="0" borderId="27" xfId="0" applyFont="1" applyBorder="1" applyAlignment="1">
      <alignment wrapText="1"/>
    </xf>
    <xf numFmtId="0" fontId="47" fillId="29" borderId="12" xfId="0" applyFont="1" applyFill="1" applyBorder="1" applyAlignment="1">
      <alignment wrapText="1"/>
    </xf>
    <xf numFmtId="0" fontId="46" fillId="0" borderId="28" xfId="0" applyFont="1" applyBorder="1" applyAlignment="1">
      <alignment horizontal="center" vertical="center" wrapText="1"/>
    </xf>
    <xf numFmtId="0" fontId="48" fillId="0" borderId="1" xfId="0" applyFont="1" applyBorder="1" applyAlignment="1">
      <alignment vertical="center" wrapText="1"/>
    </xf>
    <xf numFmtId="0" fontId="46" fillId="0" borderId="12" xfId="0" applyFont="1" applyBorder="1" applyAlignment="1">
      <alignment wrapText="1"/>
    </xf>
    <xf numFmtId="0" fontId="46" fillId="10" borderId="1" xfId="0" applyFont="1" applyFill="1" applyBorder="1" applyAlignment="1">
      <alignment vertical="center" wrapText="1"/>
    </xf>
    <xf numFmtId="167" fontId="46" fillId="10" borderId="1" xfId="1" applyNumberFormat="1" applyFont="1" applyFill="1" applyBorder="1" applyAlignment="1" applyProtection="1">
      <alignment vertical="center" wrapText="1"/>
    </xf>
    <xf numFmtId="0" fontId="46" fillId="19" borderId="1" xfId="0" applyFont="1" applyFill="1" applyBorder="1" applyAlignment="1">
      <alignment vertical="center" wrapText="1"/>
    </xf>
    <xf numFmtId="167" fontId="46" fillId="19" borderId="1" xfId="1" applyNumberFormat="1" applyFont="1" applyFill="1" applyBorder="1" applyAlignment="1" applyProtection="1">
      <alignment vertical="center" wrapText="1"/>
    </xf>
    <xf numFmtId="0" fontId="46" fillId="6" borderId="1" xfId="0" applyFont="1" applyFill="1" applyBorder="1" applyAlignment="1">
      <alignment vertical="center" wrapText="1"/>
    </xf>
    <xf numFmtId="167" fontId="46" fillId="6" borderId="1" xfId="1" applyNumberFormat="1" applyFont="1" applyFill="1" applyBorder="1" applyAlignment="1" applyProtection="1">
      <alignment vertical="center" wrapText="1"/>
    </xf>
    <xf numFmtId="167" fontId="46" fillId="15" borderId="1" xfId="1" applyNumberFormat="1" applyFont="1" applyFill="1" applyBorder="1" applyAlignment="1" applyProtection="1">
      <alignment vertical="center" wrapText="1"/>
    </xf>
    <xf numFmtId="167" fontId="48" fillId="15" borderId="1" xfId="1" applyNumberFormat="1" applyFont="1" applyFill="1" applyBorder="1" applyAlignment="1" applyProtection="1">
      <alignment vertical="center" wrapText="1"/>
    </xf>
    <xf numFmtId="10" fontId="48" fillId="15" borderId="1" xfId="2" applyNumberFormat="1" applyFont="1" applyFill="1" applyBorder="1" applyAlignment="1" applyProtection="1">
      <alignment horizontal="center" vertical="center" wrapText="1"/>
    </xf>
    <xf numFmtId="0" fontId="49" fillId="0" borderId="0" xfId="0" applyFont="1" applyAlignment="1">
      <alignment vertical="center" wrapText="1"/>
    </xf>
    <xf numFmtId="166" fontId="48" fillId="10" borderId="28" xfId="1" applyFont="1" applyFill="1" applyBorder="1" applyAlignment="1" applyProtection="1">
      <alignment horizontal="center" vertical="center" wrapText="1"/>
      <protection locked="0"/>
    </xf>
    <xf numFmtId="167" fontId="46" fillId="10" borderId="1" xfId="1" applyNumberFormat="1" applyFont="1" applyFill="1" applyBorder="1" applyAlignment="1" applyProtection="1">
      <alignment vertical="center" wrapText="1"/>
      <protection locked="0"/>
    </xf>
    <xf numFmtId="167" fontId="46" fillId="10" borderId="1" xfId="1" applyNumberFormat="1" applyFont="1" applyFill="1" applyBorder="1" applyAlignment="1">
      <alignment vertical="center" wrapText="1"/>
    </xf>
    <xf numFmtId="0" fontId="46" fillId="19" borderId="1" xfId="0" applyFont="1" applyFill="1" applyBorder="1" applyAlignment="1" applyProtection="1">
      <alignment vertical="center" wrapText="1"/>
      <protection locked="0"/>
    </xf>
    <xf numFmtId="167" fontId="46" fillId="19" borderId="1" xfId="1" applyNumberFormat="1" applyFont="1" applyFill="1" applyBorder="1" applyAlignment="1" applyProtection="1">
      <alignment vertical="center" wrapText="1"/>
      <protection locked="0"/>
    </xf>
    <xf numFmtId="167" fontId="46" fillId="19" borderId="1" xfId="1" applyNumberFormat="1" applyFont="1" applyFill="1" applyBorder="1" applyAlignment="1">
      <alignment vertical="center" wrapText="1"/>
    </xf>
    <xf numFmtId="0" fontId="46" fillId="6" borderId="1" xfId="0" applyFont="1" applyFill="1" applyBorder="1" applyAlignment="1" applyProtection="1">
      <alignment vertical="center" wrapText="1"/>
      <protection locked="0"/>
    </xf>
    <xf numFmtId="167" fontId="46" fillId="6" borderId="1" xfId="1" applyNumberFormat="1" applyFont="1" applyFill="1" applyBorder="1" applyAlignment="1" applyProtection="1">
      <alignment vertical="center" wrapText="1"/>
      <protection locked="0"/>
    </xf>
    <xf numFmtId="167" fontId="46" fillId="6" borderId="1" xfId="1" applyNumberFormat="1" applyFont="1" applyFill="1" applyBorder="1" applyAlignment="1">
      <alignment vertical="center" wrapText="1"/>
    </xf>
    <xf numFmtId="0" fontId="46" fillId="10" borderId="1" xfId="0" applyFont="1" applyFill="1" applyBorder="1" applyAlignment="1" applyProtection="1">
      <alignment vertical="center" wrapText="1"/>
      <protection locked="0"/>
    </xf>
    <xf numFmtId="0" fontId="0" fillId="0" borderId="6" xfId="0" applyBorder="1" applyAlignment="1">
      <alignment vertical="center" wrapText="1"/>
    </xf>
    <xf numFmtId="167" fontId="27" fillId="15" borderId="25" xfId="1" applyNumberFormat="1" applyFont="1" applyFill="1" applyBorder="1" applyAlignment="1">
      <alignment vertical="center" wrapText="1"/>
    </xf>
    <xf numFmtId="167" fontId="25" fillId="15" borderId="25" xfId="1" applyNumberFormat="1" applyFont="1" applyFill="1" applyBorder="1" applyAlignment="1">
      <alignment vertical="center" wrapText="1"/>
    </xf>
    <xf numFmtId="10" fontId="25" fillId="15" borderId="25" xfId="2" applyNumberFormat="1" applyFont="1" applyFill="1" applyBorder="1" applyAlignment="1">
      <alignment horizontal="center" vertical="center" wrapText="1"/>
    </xf>
    <xf numFmtId="167" fontId="27" fillId="15" borderId="27" xfId="1" applyNumberFormat="1" applyFont="1" applyFill="1" applyBorder="1" applyAlignment="1">
      <alignment vertical="center" wrapText="1"/>
    </xf>
    <xf numFmtId="167" fontId="25" fillId="15" borderId="27" xfId="1" applyNumberFormat="1" applyFont="1" applyFill="1" applyBorder="1" applyAlignment="1">
      <alignment vertical="center" wrapText="1"/>
    </xf>
    <xf numFmtId="10" fontId="25" fillId="15" borderId="27" xfId="2" applyNumberFormat="1" applyFont="1" applyFill="1" applyBorder="1" applyAlignment="1">
      <alignment horizontal="center" vertical="center" wrapText="1"/>
    </xf>
    <xf numFmtId="0" fontId="50" fillId="15" borderId="28" xfId="0" applyFont="1" applyFill="1" applyBorder="1"/>
    <xf numFmtId="10" fontId="50" fillId="15" borderId="28" xfId="0" applyNumberFormat="1" applyFont="1" applyFill="1" applyBorder="1"/>
    <xf numFmtId="0" fontId="50" fillId="6" borderId="28" xfId="0" applyFont="1" applyFill="1" applyBorder="1"/>
    <xf numFmtId="0" fontId="50" fillId="15" borderId="29" xfId="0" applyFont="1" applyFill="1" applyBorder="1"/>
    <xf numFmtId="0" fontId="27" fillId="6" borderId="25" xfId="0" applyFont="1" applyFill="1" applyBorder="1" applyAlignment="1" applyProtection="1">
      <alignment vertical="center" wrapText="1"/>
      <protection locked="0"/>
    </xf>
    <xf numFmtId="167" fontId="27" fillId="6" borderId="25" xfId="1" applyNumberFormat="1" applyFont="1" applyFill="1" applyBorder="1" applyAlignment="1" applyProtection="1">
      <alignment vertical="center" wrapText="1"/>
      <protection locked="0"/>
    </xf>
    <xf numFmtId="167" fontId="27" fillId="6" borderId="25" xfId="1" applyNumberFormat="1" applyFont="1" applyFill="1" applyBorder="1" applyAlignment="1">
      <alignment vertical="center" wrapText="1"/>
    </xf>
    <xf numFmtId="0" fontId="27" fillId="6" borderId="27" xfId="0" applyFont="1" applyFill="1" applyBorder="1" applyAlignment="1" applyProtection="1">
      <alignment vertical="center" wrapText="1"/>
      <protection locked="0"/>
    </xf>
    <xf numFmtId="167" fontId="27" fillId="6" borderId="27" xfId="1" applyNumberFormat="1" applyFont="1" applyFill="1" applyBorder="1" applyAlignment="1" applyProtection="1">
      <alignment vertical="center" wrapText="1"/>
      <protection locked="0"/>
    </xf>
    <xf numFmtId="167" fontId="27" fillId="6" borderId="27" xfId="1" applyNumberFormat="1" applyFont="1" applyFill="1" applyBorder="1" applyAlignment="1">
      <alignment vertical="center" wrapText="1"/>
    </xf>
    <xf numFmtId="0" fontId="50" fillId="6" borderId="29" xfId="0" applyFont="1" applyFill="1" applyBorder="1"/>
    <xf numFmtId="0" fontId="27" fillId="19" borderId="25" xfId="0" applyFont="1" applyFill="1" applyBorder="1" applyAlignment="1" applyProtection="1">
      <alignment vertical="center" wrapText="1"/>
      <protection locked="0"/>
    </xf>
    <xf numFmtId="167" fontId="27" fillId="19" borderId="25" xfId="1" applyNumberFormat="1" applyFont="1" applyFill="1" applyBorder="1" applyAlignment="1" applyProtection="1">
      <alignment vertical="center" wrapText="1"/>
      <protection locked="0"/>
    </xf>
    <xf numFmtId="167" fontId="27" fillId="19" borderId="25" xfId="1" applyNumberFormat="1" applyFont="1" applyFill="1" applyBorder="1" applyAlignment="1">
      <alignment vertical="center" wrapText="1"/>
    </xf>
    <xf numFmtId="0" fontId="27" fillId="19" borderId="27" xfId="0" applyFont="1" applyFill="1" applyBorder="1" applyAlignment="1" applyProtection="1">
      <alignment vertical="center" wrapText="1"/>
      <protection locked="0"/>
    </xf>
    <xf numFmtId="167" fontId="27" fillId="19" borderId="27" xfId="1" applyNumberFormat="1" applyFont="1" applyFill="1" applyBorder="1" applyAlignment="1" applyProtection="1">
      <alignment vertical="center" wrapText="1"/>
      <protection locked="0"/>
    </xf>
    <xf numFmtId="167" fontId="27" fillId="19" borderId="27" xfId="1" applyNumberFormat="1" applyFont="1" applyFill="1" applyBorder="1" applyAlignment="1">
      <alignment vertical="center" wrapText="1"/>
    </xf>
    <xf numFmtId="0" fontId="50" fillId="19" borderId="28" xfId="0" applyFont="1" applyFill="1" applyBorder="1"/>
    <xf numFmtId="0" fontId="41" fillId="0" borderId="11" xfId="0" applyFont="1" applyBorder="1" applyAlignment="1">
      <alignment wrapText="1"/>
    </xf>
    <xf numFmtId="0" fontId="50" fillId="19" borderId="29" xfId="0" applyFont="1" applyFill="1" applyBorder="1"/>
    <xf numFmtId="0" fontId="27" fillId="10" borderId="25" xfId="0" applyFont="1" applyFill="1" applyBorder="1" applyAlignment="1" applyProtection="1">
      <alignment vertical="center" wrapText="1"/>
      <protection locked="0"/>
    </xf>
    <xf numFmtId="167" fontId="27" fillId="10" borderId="25" xfId="1" applyNumberFormat="1" applyFont="1" applyFill="1" applyBorder="1" applyAlignment="1" applyProtection="1">
      <alignment vertical="center" wrapText="1"/>
      <protection locked="0"/>
    </xf>
    <xf numFmtId="167" fontId="27" fillId="10" borderId="25" xfId="1" applyNumberFormat="1" applyFont="1" applyFill="1" applyBorder="1" applyAlignment="1">
      <alignment vertical="center" wrapText="1"/>
    </xf>
    <xf numFmtId="0" fontId="27" fillId="10" borderId="27" xfId="0" applyFont="1" applyFill="1" applyBorder="1" applyAlignment="1" applyProtection="1">
      <alignment vertical="center" wrapText="1"/>
      <protection locked="0"/>
    </xf>
    <xf numFmtId="167" fontId="27" fillId="10" borderId="27" xfId="1" applyNumberFormat="1" applyFont="1" applyFill="1" applyBorder="1" applyAlignment="1" applyProtection="1">
      <alignment vertical="center" wrapText="1"/>
      <protection locked="0"/>
    </xf>
    <xf numFmtId="167" fontId="27" fillId="10" borderId="27" xfId="1" applyNumberFormat="1" applyFont="1" applyFill="1" applyBorder="1" applyAlignment="1">
      <alignment vertical="center" wrapText="1"/>
    </xf>
    <xf numFmtId="0" fontId="50" fillId="10" borderId="28" xfId="0" applyFont="1" applyFill="1" applyBorder="1"/>
    <xf numFmtId="167" fontId="46" fillId="15" borderId="1" xfId="1" applyNumberFormat="1" applyFont="1" applyFill="1" applyBorder="1" applyAlignment="1">
      <alignment vertical="center" wrapText="1"/>
    </xf>
    <xf numFmtId="167" fontId="48" fillId="15" borderId="1" xfId="1" applyNumberFormat="1" applyFont="1" applyFill="1" applyBorder="1" applyAlignment="1">
      <alignment vertical="center" wrapText="1"/>
    </xf>
    <xf numFmtId="10" fontId="48" fillId="15" borderId="1" xfId="2" applyNumberFormat="1" applyFont="1" applyFill="1" applyBorder="1" applyAlignment="1">
      <alignment horizontal="center" vertical="center" wrapText="1"/>
    </xf>
    <xf numFmtId="0" fontId="5" fillId="0" borderId="1" xfId="3" applyFont="1" applyBorder="1" applyAlignment="1">
      <alignment horizontal="center" vertical="center" wrapText="1"/>
    </xf>
    <xf numFmtId="0" fontId="51" fillId="31" borderId="1" xfId="0" applyFont="1" applyFill="1" applyBorder="1" applyAlignment="1">
      <alignment wrapText="1"/>
    </xf>
    <xf numFmtId="0" fontId="51" fillId="31" borderId="6" xfId="0" applyFont="1" applyFill="1" applyBorder="1" applyAlignment="1">
      <alignment wrapText="1"/>
    </xf>
    <xf numFmtId="0" fontId="51" fillId="32" borderId="6" xfId="0" applyFont="1" applyFill="1" applyBorder="1" applyAlignment="1">
      <alignment wrapText="1"/>
    </xf>
    <xf numFmtId="0" fontId="51" fillId="22" borderId="6" xfId="0" applyFont="1" applyFill="1" applyBorder="1" applyAlignment="1">
      <alignment wrapText="1"/>
    </xf>
    <xf numFmtId="0" fontId="51" fillId="34" borderId="6" xfId="0" applyFont="1" applyFill="1" applyBorder="1" applyAlignment="1">
      <alignment wrapText="1"/>
    </xf>
    <xf numFmtId="10" fontId="51" fillId="34" borderId="6" xfId="0" applyNumberFormat="1" applyFont="1" applyFill="1" applyBorder="1" applyAlignment="1">
      <alignment wrapText="1"/>
    </xf>
    <xf numFmtId="0" fontId="51" fillId="31" borderId="27" xfId="0" applyFont="1" applyFill="1" applyBorder="1" applyAlignment="1">
      <alignment wrapText="1"/>
    </xf>
    <xf numFmtId="0" fontId="51" fillId="31" borderId="12" xfId="0" applyFont="1" applyFill="1" applyBorder="1" applyAlignment="1">
      <alignment wrapText="1"/>
    </xf>
    <xf numFmtId="0" fontId="51" fillId="32" borderId="12" xfId="0" applyFont="1" applyFill="1" applyBorder="1" applyAlignment="1">
      <alignment wrapText="1"/>
    </xf>
    <xf numFmtId="0" fontId="51" fillId="22" borderId="12" xfId="0" applyFont="1" applyFill="1" applyBorder="1" applyAlignment="1">
      <alignment wrapText="1"/>
    </xf>
    <xf numFmtId="0" fontId="51" fillId="34" borderId="12" xfId="0" applyFont="1" applyFill="1" applyBorder="1" applyAlignment="1">
      <alignment wrapText="1"/>
    </xf>
    <xf numFmtId="10" fontId="51" fillId="34" borderId="12" xfId="0" applyNumberFormat="1" applyFont="1" applyFill="1" applyBorder="1" applyAlignment="1">
      <alignment wrapText="1"/>
    </xf>
    <xf numFmtId="0" fontId="25" fillId="0" borderId="28" xfId="0" applyFont="1" applyBorder="1" applyAlignment="1" applyProtection="1">
      <alignment vertical="center" wrapText="1"/>
      <protection locked="0"/>
    </xf>
    <xf numFmtId="0" fontId="40" fillId="0" borderId="28" xfId="0" applyFont="1" applyBorder="1" applyAlignment="1">
      <alignment wrapText="1"/>
    </xf>
    <xf numFmtId="0" fontId="42" fillId="0" borderId="28" xfId="0" applyFont="1" applyBorder="1" applyAlignment="1">
      <alignment wrapText="1"/>
    </xf>
    <xf numFmtId="0" fontId="41" fillId="0" borderId="28" xfId="0" applyFont="1" applyBorder="1" applyAlignment="1">
      <alignment wrapText="1"/>
    </xf>
    <xf numFmtId="0" fontId="51" fillId="31" borderId="28" xfId="0" applyFont="1" applyFill="1" applyBorder="1" applyAlignment="1">
      <alignment wrapText="1"/>
    </xf>
    <xf numFmtId="0" fontId="51" fillId="32" borderId="28" xfId="0" applyFont="1" applyFill="1" applyBorder="1" applyAlignment="1">
      <alignment wrapText="1"/>
    </xf>
    <xf numFmtId="0" fontId="51" fillId="22" borderId="28" xfId="0" applyFont="1" applyFill="1" applyBorder="1" applyAlignment="1">
      <alignment wrapText="1"/>
    </xf>
    <xf numFmtId="0" fontId="0" fillId="0" borderId="28" xfId="0" applyBorder="1" applyAlignment="1">
      <alignment vertical="center" wrapText="1"/>
    </xf>
    <xf numFmtId="0" fontId="25" fillId="0" borderId="25" xfId="0" applyFont="1" applyBorder="1" applyAlignment="1" applyProtection="1">
      <alignment vertical="center" wrapText="1"/>
      <protection locked="0"/>
    </xf>
    <xf numFmtId="0" fontId="40" fillId="0" borderId="26" xfId="0" applyFont="1" applyBorder="1" applyAlignment="1">
      <alignment wrapText="1"/>
    </xf>
    <xf numFmtId="0" fontId="45" fillId="0" borderId="34" xfId="0" applyFont="1" applyBorder="1" applyAlignment="1">
      <alignment wrapText="1"/>
    </xf>
    <xf numFmtId="0" fontId="45" fillId="0" borderId="32" xfId="0" applyFont="1" applyBorder="1" applyAlignment="1">
      <alignment wrapText="1"/>
    </xf>
    <xf numFmtId="0" fontId="40" fillId="0" borderId="8" xfId="0" applyFont="1" applyBorder="1" applyAlignment="1">
      <alignment wrapText="1"/>
    </xf>
    <xf numFmtId="0" fontId="42" fillId="0" borderId="8" xfId="0" applyFont="1" applyBorder="1" applyAlignment="1">
      <alignment wrapText="1"/>
    </xf>
    <xf numFmtId="0" fontId="41" fillId="0" borderId="8" xfId="0" applyFont="1" applyBorder="1" applyAlignment="1">
      <alignment wrapText="1"/>
    </xf>
    <xf numFmtId="0" fontId="51" fillId="31" borderId="26" xfId="0" applyFont="1" applyFill="1" applyBorder="1" applyAlignment="1">
      <alignment wrapText="1"/>
    </xf>
    <xf numFmtId="0" fontId="51" fillId="31" borderId="8" xfId="0" applyFont="1" applyFill="1" applyBorder="1" applyAlignment="1">
      <alignment wrapText="1"/>
    </xf>
    <xf numFmtId="0" fontId="51" fillId="32" borderId="8" xfId="0" applyFont="1" applyFill="1" applyBorder="1" applyAlignment="1">
      <alignment wrapText="1"/>
    </xf>
    <xf numFmtId="0" fontId="51" fillId="22" borderId="8" xfId="0" applyFont="1" applyFill="1" applyBorder="1" applyAlignment="1">
      <alignment wrapText="1"/>
    </xf>
    <xf numFmtId="0" fontId="0" fillId="0" borderId="25" xfId="0" applyBorder="1" applyAlignment="1">
      <alignment vertical="center" wrapText="1"/>
    </xf>
    <xf numFmtId="0" fontId="52" fillId="0" borderId="31" xfId="0" applyFont="1" applyBorder="1" applyAlignment="1">
      <alignment wrapText="1" readingOrder="1"/>
    </xf>
    <xf numFmtId="0" fontId="41" fillId="0" borderId="31" xfId="0" applyFont="1" applyBorder="1" applyAlignment="1">
      <alignment wrapText="1"/>
    </xf>
    <xf numFmtId="0" fontId="52" fillId="0" borderId="30" xfId="0" applyFont="1" applyBorder="1" applyAlignment="1">
      <alignment wrapText="1" readingOrder="1"/>
    </xf>
    <xf numFmtId="0" fontId="40" fillId="0" borderId="1" xfId="0" applyFont="1" applyBorder="1" applyAlignment="1">
      <alignment wrapText="1"/>
    </xf>
    <xf numFmtId="0" fontId="52" fillId="0" borderId="33" xfId="0" applyFont="1" applyBorder="1" applyAlignment="1">
      <alignment wrapText="1" readingOrder="1"/>
    </xf>
    <xf numFmtId="0" fontId="41" fillId="0" borderId="33" xfId="0" applyFont="1" applyBorder="1" applyAlignment="1">
      <alignment wrapText="1"/>
    </xf>
    <xf numFmtId="0" fontId="52" fillId="0" borderId="37" xfId="0" applyFont="1" applyBorder="1" applyAlignment="1">
      <alignment wrapText="1" readingOrder="1"/>
    </xf>
    <xf numFmtId="0" fontId="54" fillId="36" borderId="1" xfId="0" applyFont="1" applyFill="1" applyBorder="1" applyAlignment="1">
      <alignment horizontal="center" vertical="center" wrapText="1"/>
    </xf>
    <xf numFmtId="0" fontId="54" fillId="36" borderId="6" xfId="0" applyFont="1" applyFill="1" applyBorder="1" applyAlignment="1">
      <alignment horizontal="center" vertical="center" wrapText="1"/>
    </xf>
    <xf numFmtId="0" fontId="54" fillId="37" borderId="6" xfId="0" applyFont="1" applyFill="1" applyBorder="1" applyAlignment="1">
      <alignment horizontal="center" vertical="center" wrapText="1"/>
    </xf>
    <xf numFmtId="0" fontId="55" fillId="35" borderId="0" xfId="0" applyFont="1" applyFill="1" applyAlignment="1">
      <alignment horizontal="center" vertical="center" wrapText="1"/>
    </xf>
    <xf numFmtId="0" fontId="41" fillId="0" borderId="0" xfId="0" applyFont="1" applyAlignment="1">
      <alignment horizontal="center" vertical="center" wrapText="1"/>
    </xf>
    <xf numFmtId="0" fontId="56" fillId="0" borderId="0" xfId="0" applyFont="1" applyAlignment="1">
      <alignment horizontal="center" vertical="center" wrapText="1"/>
    </xf>
    <xf numFmtId="0" fontId="50" fillId="0" borderId="0" xfId="0" applyFont="1" applyAlignment="1">
      <alignment horizontal="center" vertical="center" wrapText="1"/>
    </xf>
    <xf numFmtId="0" fontId="41" fillId="0" borderId="27" xfId="0" applyFont="1" applyBorder="1" applyAlignment="1">
      <alignment wrapText="1"/>
    </xf>
    <xf numFmtId="0" fontId="56" fillId="0" borderId="0" xfId="0" applyFont="1" applyAlignment="1">
      <alignment wrapText="1"/>
    </xf>
    <xf numFmtId="0" fontId="41" fillId="0" borderId="0" xfId="0" applyFont="1" applyAlignment="1">
      <alignment wrapText="1"/>
    </xf>
    <xf numFmtId="0" fontId="50" fillId="0" borderId="0" xfId="0" applyFont="1" applyAlignment="1">
      <alignment wrapText="1"/>
    </xf>
    <xf numFmtId="0" fontId="47" fillId="7" borderId="28" xfId="0" applyFont="1" applyFill="1" applyBorder="1" applyAlignment="1" applyProtection="1">
      <alignment vertical="center" wrapText="1"/>
      <protection locked="0"/>
    </xf>
    <xf numFmtId="0" fontId="48" fillId="0" borderId="28" xfId="0" applyFont="1" applyBorder="1" applyAlignment="1" applyProtection="1">
      <alignment vertical="center" wrapText="1"/>
      <protection locked="0"/>
    </xf>
    <xf numFmtId="0" fontId="48" fillId="0" borderId="28" xfId="1" applyNumberFormat="1" applyFont="1" applyFill="1" applyBorder="1" applyAlignment="1">
      <alignment vertical="center" wrapText="1"/>
    </xf>
    <xf numFmtId="0" fontId="48" fillId="9" borderId="28" xfId="0" applyFont="1" applyFill="1" applyBorder="1" applyAlignment="1" applyProtection="1">
      <alignment vertical="center" wrapText="1"/>
      <protection locked="0"/>
    </xf>
    <xf numFmtId="166" fontId="48" fillId="9" borderId="28" xfId="1" applyFont="1" applyFill="1" applyBorder="1" applyAlignment="1" applyProtection="1">
      <alignment vertical="center" wrapText="1"/>
      <protection locked="0"/>
    </xf>
    <xf numFmtId="0" fontId="48" fillId="0" borderId="28" xfId="0" applyFont="1" applyBorder="1" applyAlignment="1">
      <alignment vertical="center"/>
    </xf>
    <xf numFmtId="0" fontId="57" fillId="0" borderId="28" xfId="0" applyFont="1" applyBorder="1" applyAlignment="1">
      <alignment vertical="center"/>
    </xf>
    <xf numFmtId="0" fontId="47" fillId="0" borderId="28" xfId="0" applyFont="1" applyBorder="1" applyAlignment="1" applyProtection="1">
      <alignment vertical="center" wrapText="1"/>
      <protection locked="0"/>
    </xf>
    <xf numFmtId="166" fontId="0" fillId="0" borderId="0" xfId="0" applyNumberFormat="1" applyAlignment="1">
      <alignment wrapText="1"/>
    </xf>
    <xf numFmtId="166" fontId="41" fillId="32" borderId="0" xfId="0" applyNumberFormat="1" applyFont="1" applyFill="1" applyAlignment="1">
      <alignment wrapText="1"/>
    </xf>
    <xf numFmtId="167" fontId="27" fillId="15" borderId="0" xfId="1" applyNumberFormat="1" applyFont="1" applyFill="1" applyBorder="1" applyAlignment="1">
      <alignment vertical="center" wrapText="1"/>
    </xf>
    <xf numFmtId="167" fontId="25" fillId="15" borderId="0" xfId="1" applyNumberFormat="1" applyFont="1" applyFill="1" applyBorder="1" applyAlignment="1">
      <alignment vertical="center" wrapText="1"/>
    </xf>
    <xf numFmtId="10" fontId="25" fillId="15" borderId="0" xfId="2" applyNumberFormat="1" applyFont="1" applyFill="1" applyBorder="1" applyAlignment="1">
      <alignment horizontal="center" vertical="center" wrapText="1"/>
    </xf>
    <xf numFmtId="0" fontId="40" fillId="29" borderId="8" xfId="0" applyFont="1" applyFill="1" applyBorder="1" applyAlignment="1">
      <alignment wrapText="1"/>
    </xf>
    <xf numFmtId="0" fontId="51" fillId="31" borderId="36" xfId="0" applyFont="1" applyFill="1" applyBorder="1" applyAlignment="1">
      <alignment wrapText="1"/>
    </xf>
    <xf numFmtId="0" fontId="51" fillId="32" borderId="36" xfId="0" applyFont="1" applyFill="1" applyBorder="1" applyAlignment="1">
      <alignment wrapText="1"/>
    </xf>
    <xf numFmtId="0" fontId="51" fillId="22" borderId="36" xfId="0" applyFont="1" applyFill="1" applyBorder="1" applyAlignment="1">
      <alignment wrapText="1"/>
    </xf>
    <xf numFmtId="4" fontId="51" fillId="31" borderId="12" xfId="0" applyNumberFormat="1" applyFont="1" applyFill="1" applyBorder="1" applyAlignment="1">
      <alignment wrapText="1"/>
    </xf>
    <xf numFmtId="3" fontId="51" fillId="31" borderId="12" xfId="0" applyNumberFormat="1" applyFont="1" applyFill="1" applyBorder="1" applyAlignment="1">
      <alignment wrapText="1"/>
    </xf>
    <xf numFmtId="4" fontId="51" fillId="32" borderId="12" xfId="0" applyNumberFormat="1" applyFont="1" applyFill="1" applyBorder="1" applyAlignment="1">
      <alignment wrapText="1"/>
    </xf>
    <xf numFmtId="4" fontId="51" fillId="22" borderId="12" xfId="0" applyNumberFormat="1" applyFont="1" applyFill="1" applyBorder="1" applyAlignment="1">
      <alignment wrapText="1"/>
    </xf>
    <xf numFmtId="0" fontId="40" fillId="0" borderId="36" xfId="0" applyFont="1" applyBorder="1" applyAlignment="1">
      <alignment wrapText="1"/>
    </xf>
    <xf numFmtId="0" fontId="45" fillId="0" borderId="36" xfId="0" applyFont="1" applyBorder="1" applyAlignment="1">
      <alignment wrapText="1"/>
    </xf>
    <xf numFmtId="0" fontId="42" fillId="0" borderId="36" xfId="0" applyFont="1" applyBorder="1" applyAlignment="1">
      <alignment wrapText="1"/>
    </xf>
    <xf numFmtId="0" fontId="41" fillId="0" borderId="36" xfId="0" applyFont="1" applyBorder="1" applyAlignment="1">
      <alignment wrapText="1"/>
    </xf>
    <xf numFmtId="167" fontId="0" fillId="0" borderId="0" xfId="0" applyNumberFormat="1" applyAlignment="1">
      <alignment wrapText="1"/>
    </xf>
    <xf numFmtId="0" fontId="31" fillId="0" borderId="28" xfId="3" applyFont="1" applyBorder="1" applyAlignment="1">
      <alignment vertical="center" wrapText="1"/>
    </xf>
    <xf numFmtId="3" fontId="6" fillId="0" borderId="28" xfId="3" applyNumberFormat="1" applyFont="1" applyBorder="1" applyAlignment="1">
      <alignment horizontal="center" vertical="center" wrapText="1"/>
    </xf>
    <xf numFmtId="43" fontId="59" fillId="0" borderId="0" xfId="3" applyNumberFormat="1" applyFont="1" applyAlignment="1">
      <alignment horizontal="center" vertical="center" wrapText="1"/>
    </xf>
    <xf numFmtId="0" fontId="6" fillId="0" borderId="25" xfId="3" applyFont="1" applyBorder="1" applyAlignment="1">
      <alignment vertical="center" wrapText="1"/>
    </xf>
    <xf numFmtId="0" fontId="6" fillId="0" borderId="25" xfId="3" applyFont="1" applyBorder="1" applyAlignment="1">
      <alignment horizontal="center" vertical="center" wrapText="1"/>
    </xf>
    <xf numFmtId="0" fontId="15" fillId="0" borderId="28" xfId="0" applyFont="1" applyBorder="1" applyAlignment="1">
      <alignment horizontal="center" vertical="center" wrapText="1"/>
    </xf>
    <xf numFmtId="0" fontId="25" fillId="0" borderId="0" xfId="0" applyFont="1" applyAlignment="1" applyProtection="1">
      <alignment vertical="center" wrapText="1"/>
      <protection locked="0"/>
    </xf>
    <xf numFmtId="0" fontId="40" fillId="29" borderId="28" xfId="0" applyFont="1" applyFill="1" applyBorder="1" applyAlignment="1">
      <alignment wrapText="1"/>
    </xf>
    <xf numFmtId="0" fontId="27" fillId="10" borderId="28" xfId="0" applyFont="1" applyFill="1" applyBorder="1" applyAlignment="1" applyProtection="1">
      <alignment vertical="center" wrapText="1"/>
      <protection locked="0"/>
    </xf>
    <xf numFmtId="167" fontId="27" fillId="10" borderId="28" xfId="1" applyNumberFormat="1" applyFont="1" applyFill="1" applyBorder="1" applyAlignment="1" applyProtection="1">
      <alignment vertical="center" wrapText="1"/>
      <protection locked="0"/>
    </xf>
    <xf numFmtId="167" fontId="27" fillId="10" borderId="28" xfId="1" applyNumberFormat="1" applyFont="1" applyFill="1" applyBorder="1" applyAlignment="1">
      <alignment vertical="center" wrapText="1"/>
    </xf>
    <xf numFmtId="0" fontId="27" fillId="19" borderId="28" xfId="0" applyFont="1" applyFill="1" applyBorder="1" applyAlignment="1" applyProtection="1">
      <alignment vertical="center" wrapText="1"/>
      <protection locked="0"/>
    </xf>
    <xf numFmtId="167" fontId="27" fillId="19" borderId="28" xfId="1" applyNumberFormat="1" applyFont="1" applyFill="1" applyBorder="1" applyAlignment="1" applyProtection="1">
      <alignment vertical="center" wrapText="1"/>
      <protection locked="0"/>
    </xf>
    <xf numFmtId="167" fontId="27" fillId="19" borderId="28" xfId="1" applyNumberFormat="1" applyFont="1" applyFill="1" applyBorder="1" applyAlignment="1">
      <alignment vertical="center" wrapText="1"/>
    </xf>
    <xf numFmtId="0" fontId="27" fillId="6" borderId="28" xfId="0" applyFont="1" applyFill="1" applyBorder="1" applyAlignment="1" applyProtection="1">
      <alignment vertical="center" wrapText="1"/>
      <protection locked="0"/>
    </xf>
    <xf numFmtId="167" fontId="27" fillId="6" borderId="28" xfId="1" applyNumberFormat="1" applyFont="1" applyFill="1" applyBorder="1" applyAlignment="1" applyProtection="1">
      <alignment vertical="center" wrapText="1"/>
      <protection locked="0"/>
    </xf>
    <xf numFmtId="167" fontId="27" fillId="6" borderId="28" xfId="1" applyNumberFormat="1" applyFont="1" applyFill="1" applyBorder="1" applyAlignment="1">
      <alignment vertical="center" wrapText="1"/>
    </xf>
    <xf numFmtId="167" fontId="27" fillId="15" borderId="28" xfId="1" applyNumberFormat="1" applyFont="1" applyFill="1" applyBorder="1" applyAlignment="1">
      <alignment vertical="center" wrapText="1"/>
    </xf>
    <xf numFmtId="167" fontId="25" fillId="15" borderId="28" xfId="1" applyNumberFormat="1" applyFont="1" applyFill="1" applyBorder="1" applyAlignment="1">
      <alignment vertical="center" wrapText="1"/>
    </xf>
    <xf numFmtId="10" fontId="25" fillId="15" borderId="28" xfId="2" applyNumberFormat="1" applyFont="1" applyFill="1" applyBorder="1" applyAlignment="1">
      <alignment horizontal="center" vertical="center" wrapText="1"/>
    </xf>
    <xf numFmtId="0" fontId="40" fillId="29" borderId="36" xfId="0" applyFont="1" applyFill="1" applyBorder="1" applyAlignment="1">
      <alignment wrapText="1"/>
    </xf>
    <xf numFmtId="0" fontId="27" fillId="10" borderId="36" xfId="0" applyFont="1" applyFill="1" applyBorder="1" applyAlignment="1" applyProtection="1">
      <alignment vertical="center" wrapText="1"/>
      <protection locked="0"/>
    </xf>
    <xf numFmtId="167" fontId="27" fillId="10" borderId="36" xfId="1" applyNumberFormat="1" applyFont="1" applyFill="1" applyBorder="1" applyAlignment="1" applyProtection="1">
      <alignment vertical="center" wrapText="1"/>
      <protection locked="0"/>
    </xf>
    <xf numFmtId="0" fontId="27" fillId="19" borderId="36" xfId="0" applyFont="1" applyFill="1" applyBorder="1" applyAlignment="1" applyProtection="1">
      <alignment vertical="center" wrapText="1"/>
      <protection locked="0"/>
    </xf>
    <xf numFmtId="167" fontId="27" fillId="19" borderId="36" xfId="1" applyNumberFormat="1" applyFont="1" applyFill="1" applyBorder="1" applyAlignment="1" applyProtection="1">
      <alignment vertical="center" wrapText="1"/>
      <protection locked="0"/>
    </xf>
    <xf numFmtId="0" fontId="27" fillId="6" borderId="36" xfId="0" applyFont="1" applyFill="1" applyBorder="1" applyAlignment="1" applyProtection="1">
      <alignment vertical="center" wrapText="1"/>
      <protection locked="0"/>
    </xf>
    <xf numFmtId="167" fontId="27" fillId="6" borderId="36" xfId="1" applyNumberFormat="1" applyFont="1" applyFill="1" applyBorder="1" applyAlignment="1">
      <alignment vertical="center" wrapText="1"/>
    </xf>
    <xf numFmtId="0" fontId="0" fillId="0" borderId="36" xfId="0" applyBorder="1" applyAlignment="1">
      <alignment vertical="center" wrapText="1"/>
    </xf>
    <xf numFmtId="0" fontId="41" fillId="0" borderId="39" xfId="0" applyFont="1" applyBorder="1" applyAlignment="1">
      <alignment wrapText="1"/>
    </xf>
    <xf numFmtId="0" fontId="40" fillId="29" borderId="33" xfId="0" applyFont="1" applyFill="1" applyBorder="1" applyAlignment="1">
      <alignment wrapText="1"/>
    </xf>
    <xf numFmtId="10" fontId="25" fillId="0" borderId="1" xfId="2" applyNumberFormat="1" applyFont="1" applyFill="1" applyBorder="1" applyAlignment="1">
      <alignment horizontal="center" vertical="center" wrapText="1"/>
    </xf>
    <xf numFmtId="0" fontId="60" fillId="0" borderId="1" xfId="0" applyFont="1" applyBorder="1" applyAlignment="1">
      <alignment vertical="center" wrapText="1"/>
    </xf>
    <xf numFmtId="0" fontId="61" fillId="0" borderId="29" xfId="0" applyFont="1" applyBorder="1" applyAlignment="1">
      <alignment wrapText="1"/>
    </xf>
    <xf numFmtId="0" fontId="25" fillId="0" borderId="36" xfId="0" applyFont="1" applyBorder="1" applyAlignment="1" applyProtection="1">
      <alignment vertical="center" wrapText="1"/>
      <protection locked="0"/>
    </xf>
    <xf numFmtId="0" fontId="51" fillId="10" borderId="28" xfId="0" applyFont="1" applyFill="1" applyBorder="1" applyAlignment="1">
      <alignment wrapText="1"/>
    </xf>
    <xf numFmtId="0" fontId="51" fillId="10" borderId="36" xfId="0" applyFont="1" applyFill="1" applyBorder="1" applyAlignment="1">
      <alignment wrapText="1"/>
    </xf>
    <xf numFmtId="0" fontId="51" fillId="10" borderId="1" xfId="0" applyFont="1" applyFill="1" applyBorder="1" applyAlignment="1">
      <alignment wrapText="1"/>
    </xf>
    <xf numFmtId="0" fontId="51" fillId="10" borderId="6" xfId="0" applyFont="1" applyFill="1" applyBorder="1" applyAlignment="1">
      <alignment wrapText="1"/>
    </xf>
    <xf numFmtId="0" fontId="51" fillId="43" borderId="28" xfId="0" applyFont="1" applyFill="1" applyBorder="1" applyAlignment="1">
      <alignment wrapText="1"/>
    </xf>
    <xf numFmtId="0" fontId="51" fillId="19" borderId="6" xfId="0" applyFont="1" applyFill="1" applyBorder="1" applyAlignment="1">
      <alignment wrapText="1"/>
    </xf>
    <xf numFmtId="0" fontId="51" fillId="44" borderId="28" xfId="0" applyFont="1" applyFill="1" applyBorder="1" applyAlignment="1">
      <alignment wrapText="1"/>
    </xf>
    <xf numFmtId="0" fontId="51" fillId="19" borderId="28" xfId="0" applyFont="1" applyFill="1" applyBorder="1" applyAlignment="1">
      <alignment wrapText="1"/>
    </xf>
    <xf numFmtId="0" fontId="51" fillId="19" borderId="36" xfId="0" applyFont="1" applyFill="1" applyBorder="1" applyAlignment="1">
      <alignment wrapText="1"/>
    </xf>
    <xf numFmtId="0" fontId="51" fillId="6" borderId="6" xfId="0" applyFont="1" applyFill="1" applyBorder="1" applyAlignment="1">
      <alignment wrapText="1"/>
    </xf>
    <xf numFmtId="0" fontId="51" fillId="45" borderId="28" xfId="0" applyFont="1" applyFill="1" applyBorder="1" applyAlignment="1">
      <alignment wrapText="1"/>
    </xf>
    <xf numFmtId="0" fontId="51" fillId="6" borderId="28" xfId="0" applyFont="1" applyFill="1" applyBorder="1" applyAlignment="1">
      <alignment wrapText="1"/>
    </xf>
    <xf numFmtId="0" fontId="51" fillId="6" borderId="36" xfId="0" applyFont="1" applyFill="1" applyBorder="1" applyAlignment="1">
      <alignment wrapText="1"/>
    </xf>
    <xf numFmtId="0" fontId="51" fillId="15" borderId="6" xfId="0" applyFont="1" applyFill="1" applyBorder="1" applyAlignment="1">
      <alignment wrapText="1"/>
    </xf>
    <xf numFmtId="10" fontId="51" fillId="15" borderId="6" xfId="0" applyNumberFormat="1" applyFont="1" applyFill="1" applyBorder="1" applyAlignment="1">
      <alignment wrapText="1"/>
    </xf>
    <xf numFmtId="0" fontId="41" fillId="0" borderId="5" xfId="0" applyFont="1" applyBorder="1" applyAlignment="1">
      <alignment wrapText="1"/>
    </xf>
    <xf numFmtId="0" fontId="41" fillId="0" borderId="9" xfId="0" applyFont="1" applyBorder="1" applyAlignment="1">
      <alignment wrapText="1"/>
    </xf>
    <xf numFmtId="0" fontId="41" fillId="0" borderId="6" xfId="0" applyFont="1" applyBorder="1" applyAlignment="1">
      <alignment wrapText="1"/>
    </xf>
    <xf numFmtId="0" fontId="41" fillId="40" borderId="3" xfId="0" applyFont="1" applyFill="1" applyBorder="1" applyAlignment="1">
      <alignment wrapText="1"/>
    </xf>
    <xf numFmtId="0" fontId="55" fillId="40" borderId="3" xfId="0" applyFont="1" applyFill="1" applyBorder="1" applyAlignment="1">
      <alignment wrapText="1"/>
    </xf>
    <xf numFmtId="0" fontId="55" fillId="40" borderId="0" xfId="0" applyFont="1" applyFill="1" applyAlignment="1">
      <alignment wrapText="1"/>
    </xf>
    <xf numFmtId="0" fontId="55" fillId="41" borderId="3" xfId="0" applyFont="1" applyFill="1" applyBorder="1" applyAlignment="1">
      <alignment wrapText="1"/>
    </xf>
    <xf numFmtId="0" fontId="55" fillId="41" borderId="0" xfId="0" applyFont="1" applyFill="1" applyAlignment="1">
      <alignment wrapText="1"/>
    </xf>
    <xf numFmtId="0" fontId="41" fillId="0" borderId="3" xfId="0" applyFont="1" applyBorder="1" applyAlignment="1">
      <alignment wrapText="1"/>
    </xf>
    <xf numFmtId="0" fontId="41" fillId="0" borderId="0" xfId="0" applyFont="1" applyAlignment="1">
      <alignment wrapText="1"/>
    </xf>
    <xf numFmtId="0" fontId="55" fillId="35" borderId="0" xfId="0" applyFont="1" applyFill="1" applyAlignment="1">
      <alignment horizontal="center" vertical="center" wrapText="1"/>
    </xf>
    <xf numFmtId="0" fontId="54" fillId="38" borderId="5" xfId="0" applyFont="1" applyFill="1" applyBorder="1" applyAlignment="1">
      <alignment horizontal="center" vertical="center" wrapText="1"/>
    </xf>
    <xf numFmtId="0" fontId="54" fillId="38" borderId="9" xfId="0" applyFont="1" applyFill="1" applyBorder="1" applyAlignment="1">
      <alignment horizontal="center" vertical="center" wrapText="1"/>
    </xf>
    <xf numFmtId="0" fontId="54" fillId="38" borderId="6" xfId="0" applyFont="1" applyFill="1" applyBorder="1" applyAlignment="1">
      <alignment horizontal="center" vertical="center" wrapText="1"/>
    </xf>
    <xf numFmtId="0" fontId="41" fillId="39" borderId="5" xfId="0" applyFont="1" applyFill="1" applyBorder="1" applyAlignment="1">
      <alignment wrapText="1"/>
    </xf>
    <xf numFmtId="0" fontId="41" fillId="39" borderId="9" xfId="0" applyFont="1" applyFill="1" applyBorder="1" applyAlignment="1">
      <alignment wrapText="1"/>
    </xf>
    <xf numFmtId="0" fontId="41" fillId="39" borderId="6" xfId="0" applyFont="1" applyFill="1" applyBorder="1" applyAlignment="1">
      <alignment wrapText="1"/>
    </xf>
    <xf numFmtId="0" fontId="25" fillId="42" borderId="28" xfId="0" applyFont="1" applyFill="1" applyBorder="1" applyAlignment="1" applyProtection="1">
      <alignment vertical="center" wrapText="1"/>
      <protection locked="0"/>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7" fillId="0" borderId="1" xfId="0" applyFont="1" applyBorder="1" applyAlignment="1">
      <alignment horizontal="center" vertical="center" wrapText="1"/>
    </xf>
    <xf numFmtId="0" fontId="6" fillId="0" borderId="1" xfId="3" applyFont="1" applyBorder="1" applyAlignment="1">
      <alignment horizontal="left" vertical="center" wrapText="1"/>
    </xf>
    <xf numFmtId="0" fontId="31" fillId="0" borderId="0" xfId="3" applyFont="1" applyAlignment="1">
      <alignment horizontal="center" vertical="center" wrapText="1"/>
    </xf>
    <xf numFmtId="0" fontId="26" fillId="3" borderId="10" xfId="0" applyFont="1" applyFill="1" applyBorder="1" applyAlignment="1">
      <alignment horizontal="center" wrapText="1"/>
    </xf>
    <xf numFmtId="0" fontId="26" fillId="3" borderId="11" xfId="0" applyFont="1" applyFill="1" applyBorder="1" applyAlignment="1">
      <alignment horizontal="center" wrapText="1"/>
    </xf>
    <xf numFmtId="0" fontId="26" fillId="3" borderId="12" xfId="0" applyFont="1" applyFill="1" applyBorder="1" applyAlignment="1">
      <alignment horizontal="center" wrapText="1"/>
    </xf>
    <xf numFmtId="0" fontId="26" fillId="13" borderId="10" xfId="0" applyFont="1" applyFill="1" applyBorder="1" applyAlignment="1">
      <alignment horizontal="center" wrapText="1"/>
    </xf>
    <xf numFmtId="0" fontId="26" fillId="13" borderId="11" xfId="0" applyFont="1" applyFill="1" applyBorder="1" applyAlignment="1">
      <alignment horizontal="center" wrapText="1"/>
    </xf>
    <xf numFmtId="0" fontId="26" fillId="13" borderId="12" xfId="0" applyFont="1" applyFill="1" applyBorder="1" applyAlignment="1">
      <alignment horizontal="center" wrapText="1"/>
    </xf>
    <xf numFmtId="0" fontId="21" fillId="0" borderId="1" xfId="3" applyFont="1" applyBorder="1" applyAlignment="1">
      <alignment horizontal="center" vertical="center" wrapText="1"/>
    </xf>
    <xf numFmtId="0" fontId="53" fillId="0" borderId="9" xfId="0" applyFont="1" applyBorder="1" applyAlignment="1">
      <alignment horizontal="center" vertical="center" wrapText="1"/>
    </xf>
    <xf numFmtId="0" fontId="53" fillId="0" borderId="38" xfId="0" applyFont="1" applyBorder="1" applyAlignment="1">
      <alignment horizontal="center" vertical="center" wrapText="1"/>
    </xf>
    <xf numFmtId="0" fontId="26" fillId="8" borderId="10" xfId="0" applyFont="1" applyFill="1" applyBorder="1" applyAlignment="1">
      <alignment horizontal="center" wrapText="1"/>
    </xf>
    <xf numFmtId="0" fontId="26" fillId="8" borderId="11" xfId="0" applyFont="1" applyFill="1" applyBorder="1" applyAlignment="1">
      <alignment horizontal="center" wrapText="1"/>
    </xf>
    <xf numFmtId="0" fontId="26" fillId="8" borderId="12" xfId="0" applyFont="1" applyFill="1" applyBorder="1" applyAlignment="1">
      <alignment horizont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6" fontId="12" fillId="4" borderId="2" xfId="0" applyNumberFormat="1" applyFont="1" applyFill="1" applyBorder="1" applyAlignment="1">
      <alignment horizontal="center" vertical="center" wrapText="1"/>
    </xf>
    <xf numFmtId="166" fontId="12" fillId="4" borderId="4" xfId="0" applyNumberFormat="1" applyFont="1" applyFill="1" applyBorder="1" applyAlignment="1">
      <alignment horizontal="center" vertical="center" wrapText="1"/>
    </xf>
    <xf numFmtId="166" fontId="12" fillId="4" borderId="7" xfId="0" applyNumberFormat="1" applyFont="1" applyFill="1" applyBorder="1" applyAlignment="1">
      <alignment horizontal="center" vertical="center" wrapText="1"/>
    </xf>
    <xf numFmtId="166" fontId="12" fillId="4" borderId="8" xfId="0" applyNumberFormat="1" applyFont="1" applyFill="1" applyBorder="1" applyAlignment="1">
      <alignment horizontal="center" vertical="center" wrapText="1"/>
    </xf>
    <xf numFmtId="166" fontId="12" fillId="4" borderId="10" xfId="0" applyNumberFormat="1" applyFont="1" applyFill="1" applyBorder="1" applyAlignment="1">
      <alignment horizontal="center" vertical="center" wrapText="1"/>
    </xf>
    <xf numFmtId="166"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13" fillId="0" borderId="7" xfId="0" applyFont="1" applyBorder="1" applyAlignment="1">
      <alignment vertical="center" wrapText="1"/>
    </xf>
    <xf numFmtId="0" fontId="13" fillId="0" borderId="0" xfId="0" applyFont="1" applyAlignment="1">
      <alignment vertical="center" wrapText="1"/>
    </xf>
    <xf numFmtId="0" fontId="0" fillId="17" borderId="33" xfId="0" applyFill="1" applyBorder="1" applyAlignment="1">
      <alignment horizontal="center" vertical="center" wrapText="1"/>
    </xf>
    <xf numFmtId="0" fontId="0" fillId="17" borderId="35" xfId="0" applyFill="1" applyBorder="1" applyAlignment="1">
      <alignment horizontal="center" wrapText="1"/>
    </xf>
    <xf numFmtId="0" fontId="0" fillId="17" borderId="0" xfId="0" applyFill="1" applyAlignment="1">
      <alignment horizontal="center" wrapText="1"/>
    </xf>
    <xf numFmtId="0" fontId="17" fillId="0" borderId="0" xfId="0" applyFont="1" applyAlignment="1">
      <alignment wrapText="1"/>
    </xf>
    <xf numFmtId="166" fontId="17" fillId="0" borderId="0" xfId="1" applyFont="1" applyAlignment="1" applyProtection="1">
      <alignment wrapText="1"/>
    </xf>
    <xf numFmtId="0" fontId="4" fillId="0" borderId="1" xfId="3" applyFont="1" applyBorder="1" applyAlignment="1">
      <alignment horizontal="center" vertical="center" wrapText="1"/>
    </xf>
    <xf numFmtId="0" fontId="62" fillId="0" borderId="5" xfId="3" applyFont="1" applyBorder="1" applyAlignment="1">
      <alignment horizontal="center" vertical="center" wrapText="1"/>
    </xf>
    <xf numFmtId="0" fontId="62" fillId="0" borderId="9" xfId="3" applyFont="1" applyBorder="1" applyAlignment="1">
      <alignment horizontal="center" vertical="center" wrapText="1"/>
    </xf>
    <xf numFmtId="0" fontId="62" fillId="0" borderId="6" xfId="3" applyFont="1" applyBorder="1" applyAlignment="1">
      <alignment horizontal="center" vertical="center" wrapText="1"/>
    </xf>
    <xf numFmtId="0" fontId="63" fillId="0" borderId="7" xfId="3" applyFont="1" applyBorder="1" applyAlignment="1">
      <alignment horizontal="center" vertical="center" wrapText="1"/>
    </xf>
    <xf numFmtId="0" fontId="63" fillId="0" borderId="0" xfId="3" applyFont="1" applyAlignment="1">
      <alignment horizontal="center" vertical="center" wrapText="1"/>
    </xf>
    <xf numFmtId="0" fontId="64" fillId="0" borderId="25" xfId="0" applyFont="1" applyBorder="1" applyAlignment="1">
      <alignment horizontal="right" vertical="center" wrapText="1"/>
    </xf>
    <xf numFmtId="166" fontId="65" fillId="0" borderId="25" xfId="1" applyFont="1" applyBorder="1" applyAlignment="1" applyProtection="1">
      <alignment wrapText="1"/>
    </xf>
    <xf numFmtId="167" fontId="66" fillId="0" borderId="25" xfId="1" applyNumberFormat="1" applyFont="1" applyBorder="1" applyAlignment="1" applyProtection="1">
      <alignment vertical="center" wrapText="1"/>
    </xf>
    <xf numFmtId="0" fontId="65" fillId="0" borderId="25" xfId="0" applyFont="1" applyBorder="1" applyAlignment="1">
      <alignment wrapText="1"/>
    </xf>
    <xf numFmtId="170" fontId="66" fillId="0" borderId="25" xfId="0" applyNumberFormat="1" applyFont="1" applyBorder="1" applyAlignment="1">
      <alignment vertical="center" wrapText="1"/>
    </xf>
    <xf numFmtId="0" fontId="63" fillId="0" borderId="10" xfId="3" applyFont="1" applyBorder="1" applyAlignment="1">
      <alignment horizontal="center" vertical="center" wrapText="1"/>
    </xf>
    <xf numFmtId="0" fontId="63" fillId="0" borderId="11" xfId="3" applyFont="1" applyBorder="1" applyAlignment="1">
      <alignment horizontal="center" vertical="center" wrapText="1"/>
    </xf>
    <xf numFmtId="0" fontId="65" fillId="0" borderId="0" xfId="0" applyFont="1" applyAlignment="1">
      <alignment wrapText="1"/>
    </xf>
    <xf numFmtId="0" fontId="66" fillId="2" borderId="1" xfId="0" applyFont="1" applyFill="1" applyBorder="1" applyAlignment="1">
      <alignment horizontal="center" vertical="center" wrapText="1"/>
    </xf>
    <xf numFmtId="166" fontId="66" fillId="21" borderId="1" xfId="1" applyFont="1" applyFill="1" applyBorder="1" applyAlignment="1" applyProtection="1">
      <alignment horizontal="center" vertical="center" wrapText="1"/>
    </xf>
    <xf numFmtId="0" fontId="66" fillId="6" borderId="1" xfId="0" applyFont="1" applyFill="1" applyBorder="1" applyAlignment="1">
      <alignment horizontal="center" vertical="center" wrapText="1"/>
    </xf>
    <xf numFmtId="0" fontId="66" fillId="46" borderId="5" xfId="0" applyFont="1" applyFill="1" applyBorder="1" applyAlignment="1">
      <alignment horizontal="center" vertical="center" wrapText="1"/>
    </xf>
    <xf numFmtId="0" fontId="66" fillId="46" borderId="9" xfId="0" applyFont="1" applyFill="1" applyBorder="1" applyAlignment="1">
      <alignment horizontal="center" vertical="center" wrapText="1"/>
    </xf>
    <xf numFmtId="0" fontId="66" fillId="46" borderId="6" xfId="0" applyFont="1" applyFill="1" applyBorder="1" applyAlignment="1">
      <alignment horizontal="center" vertical="center" wrapText="1"/>
    </xf>
    <xf numFmtId="166" fontId="66" fillId="21" borderId="1" xfId="1" applyFont="1" applyFill="1" applyBorder="1" applyAlignment="1" applyProtection="1">
      <alignment horizontal="center" vertical="center" wrapText="1"/>
    </xf>
    <xf numFmtId="0" fontId="66" fillId="6" borderId="1" xfId="0" applyFont="1" applyFill="1" applyBorder="1" applyAlignment="1">
      <alignment horizontal="center" vertical="center" wrapText="1"/>
    </xf>
    <xf numFmtId="0" fontId="66" fillId="46"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vertical="center" wrapText="1"/>
    </xf>
    <xf numFmtId="167" fontId="67" fillId="0" borderId="1" xfId="1" applyNumberFormat="1" applyFont="1" applyBorder="1" applyAlignment="1" applyProtection="1">
      <alignment vertical="center" wrapText="1"/>
    </xf>
    <xf numFmtId="167" fontId="17" fillId="0" borderId="1" xfId="0" applyNumberFormat="1" applyFont="1" applyBorder="1" applyAlignment="1" applyProtection="1">
      <alignment horizontal="center" vertical="center" wrapText="1"/>
      <protection locked="0"/>
    </xf>
    <xf numFmtId="167" fontId="17" fillId="0" borderId="1" xfId="0" applyNumberFormat="1" applyFont="1" applyBorder="1" applyAlignment="1">
      <alignment wrapText="1"/>
    </xf>
    <xf numFmtId="0" fontId="17" fillId="0" borderId="1" xfId="0" applyFont="1" applyBorder="1" applyAlignment="1">
      <alignment wrapText="1"/>
    </xf>
    <xf numFmtId="171" fontId="17" fillId="0" borderId="1" xfId="0" applyNumberFormat="1" applyFont="1" applyBorder="1" applyAlignment="1">
      <alignment wrapText="1"/>
    </xf>
    <xf numFmtId="170" fontId="17" fillId="0" borderId="1" xfId="0" applyNumberFormat="1" applyFont="1" applyBorder="1" applyAlignment="1">
      <alignment wrapText="1"/>
    </xf>
    <xf numFmtId="0" fontId="17" fillId="20" borderId="9" xfId="0" applyFont="1" applyFill="1" applyBorder="1" applyAlignment="1">
      <alignment horizontal="center" wrapText="1"/>
    </xf>
    <xf numFmtId="172" fontId="17" fillId="20" borderId="9" xfId="0" applyNumberFormat="1" applyFont="1" applyFill="1" applyBorder="1" applyAlignment="1">
      <alignment wrapText="1"/>
    </xf>
    <xf numFmtId="0" fontId="17" fillId="20" borderId="6" xfId="0" applyFont="1" applyFill="1" applyBorder="1" applyAlignment="1">
      <alignment wrapText="1"/>
    </xf>
    <xf numFmtId="173" fontId="17" fillId="20" borderId="9" xfId="0" applyNumberFormat="1" applyFont="1" applyFill="1" applyBorder="1" applyAlignment="1">
      <alignment horizontal="center" wrapText="1"/>
    </xf>
    <xf numFmtId="173" fontId="17" fillId="20" borderId="6" xfId="0" applyNumberFormat="1" applyFont="1" applyFill="1" applyBorder="1" applyAlignment="1">
      <alignment horizontal="center" wrapText="1"/>
    </xf>
    <xf numFmtId="0" fontId="68" fillId="47" borderId="2" xfId="0" applyFont="1" applyFill="1" applyBorder="1" applyAlignment="1">
      <alignment horizontal="center" vertical="center" wrapText="1"/>
    </xf>
    <xf numFmtId="0" fontId="68" fillId="47" borderId="3" xfId="0" applyFont="1" applyFill="1" applyBorder="1" applyAlignment="1">
      <alignment horizontal="center" vertical="center" wrapText="1"/>
    </xf>
    <xf numFmtId="0" fontId="68" fillId="47" borderId="4" xfId="0" applyFont="1" applyFill="1" applyBorder="1" applyAlignment="1">
      <alignment horizontal="center" vertical="center" wrapText="1"/>
    </xf>
    <xf numFmtId="0" fontId="68" fillId="47" borderId="10" xfId="0" applyFont="1" applyFill="1" applyBorder="1" applyAlignment="1">
      <alignment horizontal="center" vertical="center" wrapText="1"/>
    </xf>
    <xf numFmtId="0" fontId="68" fillId="47" borderId="11" xfId="0" applyFont="1" applyFill="1" applyBorder="1" applyAlignment="1">
      <alignment horizontal="center" vertical="center" wrapText="1"/>
    </xf>
    <xf numFmtId="0" fontId="68" fillId="47" borderId="12" xfId="0" applyFont="1" applyFill="1" applyBorder="1" applyAlignment="1">
      <alignment horizontal="center" vertical="center" wrapText="1"/>
    </xf>
    <xf numFmtId="0" fontId="17" fillId="0" borderId="1" xfId="0" applyFont="1" applyBorder="1" applyAlignment="1">
      <alignment horizontal="left" vertical="center" wrapText="1"/>
    </xf>
    <xf numFmtId="166" fontId="67" fillId="0" borderId="1" xfId="1" applyFont="1" applyBorder="1" applyAlignment="1" applyProtection="1">
      <alignment vertical="center" wrapText="1"/>
    </xf>
    <xf numFmtId="172" fontId="17" fillId="0" borderId="1" xfId="0" applyNumberFormat="1" applyFont="1" applyBorder="1" applyAlignment="1">
      <alignment horizontal="center" vertical="center" wrapText="1"/>
    </xf>
    <xf numFmtId="172" fontId="17" fillId="0" borderId="1" xfId="0" applyNumberFormat="1" applyFont="1" applyBorder="1" applyAlignment="1">
      <alignment wrapText="1"/>
    </xf>
    <xf numFmtId="0" fontId="69" fillId="7" borderId="1" xfId="0" applyFont="1" applyFill="1" applyBorder="1" applyAlignment="1">
      <alignment horizontal="right" vertical="center" wrapText="1"/>
    </xf>
    <xf numFmtId="0" fontId="70" fillId="7" borderId="1" xfId="0" applyFont="1" applyFill="1" applyBorder="1" applyAlignment="1">
      <alignment horizontal="center" vertical="center" wrapText="1"/>
    </xf>
    <xf numFmtId="0" fontId="13" fillId="0" borderId="3" xfId="0" applyFont="1" applyBorder="1" applyAlignment="1">
      <alignment horizontal="center" vertical="center" wrapText="1"/>
    </xf>
    <xf numFmtId="166" fontId="0" fillId="0" borderId="0" xfId="1" applyFont="1" applyAlignment="1" applyProtection="1">
      <alignment vertical="center" wrapText="1"/>
    </xf>
    <xf numFmtId="167" fontId="17" fillId="0" borderId="9" xfId="0" applyNumberFormat="1" applyFont="1" applyBorder="1" applyAlignment="1" applyProtection="1">
      <alignment horizontal="center" vertical="center" wrapText="1"/>
      <protection locked="0"/>
    </xf>
    <xf numFmtId="0" fontId="17" fillId="0" borderId="9" xfId="0" applyFont="1" applyBorder="1" applyAlignment="1">
      <alignment wrapText="1"/>
    </xf>
    <xf numFmtId="171" fontId="17" fillId="0" borderId="9" xfId="0" applyNumberFormat="1" applyFont="1" applyBorder="1" applyAlignment="1">
      <alignment wrapText="1"/>
    </xf>
    <xf numFmtId="170" fontId="17" fillId="0" borderId="6" xfId="0" applyNumberFormat="1" applyFont="1" applyBorder="1" applyAlignment="1">
      <alignment wrapText="1"/>
    </xf>
    <xf numFmtId="0" fontId="17" fillId="0" borderId="6" xfId="0" applyFont="1" applyBorder="1" applyAlignment="1">
      <alignment vertical="center" wrapText="1"/>
    </xf>
    <xf numFmtId="0" fontId="17" fillId="20" borderId="11" xfId="0" applyFont="1" applyFill="1" applyBorder="1" applyAlignment="1">
      <alignment horizontal="center" wrapText="1"/>
    </xf>
    <xf numFmtId="172" fontId="17" fillId="0" borderId="9" xfId="0" applyNumberFormat="1" applyFont="1" applyBorder="1" applyAlignment="1">
      <alignment horizontal="center" vertical="center" wrapText="1"/>
    </xf>
    <xf numFmtId="172" fontId="17" fillId="0" borderId="6" xfId="0" applyNumberFormat="1" applyFont="1" applyBorder="1" applyAlignment="1">
      <alignment wrapText="1"/>
    </xf>
    <xf numFmtId="170" fontId="17" fillId="0" borderId="9" xfId="0" applyNumberFormat="1" applyFont="1" applyBorder="1" applyAlignment="1">
      <alignment wrapText="1"/>
    </xf>
    <xf numFmtId="175" fontId="7" fillId="0" borderId="1" xfId="0" applyNumberFormat="1" applyFont="1" applyBorder="1" applyAlignment="1">
      <alignment horizontal="center" vertical="center" wrapText="1"/>
    </xf>
  </cellXfs>
  <cellStyles count="7">
    <cellStyle name="Hipervínculo" xfId="6" builtinId="8"/>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28">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rgb="FF9C0006"/>
      </font>
    </dxf>
    <dxf>
      <font>
        <color rgb="FF9C0006"/>
      </font>
      <fill>
        <patternFill>
          <bgColor rgb="FFFFC7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pivotCacheDefinition" Target="pivotCache/pivotCacheDefinition3.xml"/><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pivotCacheDefinition" Target="pivotCache/pivotCacheDefinition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tmp"/></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4" name="Imagen 2">
          <a:extLst>
            <a:ext uri="{FF2B5EF4-FFF2-40B4-BE49-F238E27FC236}">
              <a16:creationId xmlns:a16="http://schemas.microsoft.com/office/drawing/2014/main" id="{15D5E62A-6C82-47DE-9DAF-9414ECCF8EB9}"/>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5" name="Imagen 3">
          <a:extLst>
            <a:ext uri="{FF2B5EF4-FFF2-40B4-BE49-F238E27FC236}">
              <a16:creationId xmlns:a16="http://schemas.microsoft.com/office/drawing/2014/main" id="{5DE57C56-DCCE-4A84-9889-A2910582E734}"/>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6" name="Imagen 4">
          <a:extLst>
            <a:ext uri="{FF2B5EF4-FFF2-40B4-BE49-F238E27FC236}">
              <a16:creationId xmlns:a16="http://schemas.microsoft.com/office/drawing/2014/main" id="{3E664942-1A0F-4DE7-901E-51421472897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7" name="Imagen 5">
          <a:extLst>
            <a:ext uri="{FF2B5EF4-FFF2-40B4-BE49-F238E27FC236}">
              <a16:creationId xmlns:a16="http://schemas.microsoft.com/office/drawing/2014/main" id="{C891D4DA-891C-43F8-96DB-9B8EF51D1CAB}"/>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8" name="Imagen 6">
          <a:extLst>
            <a:ext uri="{FF2B5EF4-FFF2-40B4-BE49-F238E27FC236}">
              <a16:creationId xmlns:a16="http://schemas.microsoft.com/office/drawing/2014/main" id="{8858B189-7EB8-400E-903F-55640F12EC92}"/>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9" name="Imagen 7">
          <a:extLst>
            <a:ext uri="{FF2B5EF4-FFF2-40B4-BE49-F238E27FC236}">
              <a16:creationId xmlns:a16="http://schemas.microsoft.com/office/drawing/2014/main" id="{3354C1D0-4CD5-4779-8A39-871DA772A15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0" name="Imagen 8">
          <a:extLst>
            <a:ext uri="{FF2B5EF4-FFF2-40B4-BE49-F238E27FC236}">
              <a16:creationId xmlns:a16="http://schemas.microsoft.com/office/drawing/2014/main" id="{C1F058EE-7DD8-488F-97F3-0769D956861C}"/>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1" name="Imagen 9">
          <a:extLst>
            <a:ext uri="{FF2B5EF4-FFF2-40B4-BE49-F238E27FC236}">
              <a16:creationId xmlns:a16="http://schemas.microsoft.com/office/drawing/2014/main" id="{71BB930B-771D-4469-8FAB-BB178A02E716}"/>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2" name="Imagen 10">
          <a:extLst>
            <a:ext uri="{FF2B5EF4-FFF2-40B4-BE49-F238E27FC236}">
              <a16:creationId xmlns:a16="http://schemas.microsoft.com/office/drawing/2014/main" id="{AD0F348D-F354-445E-8311-A29723DB7B96}"/>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3" name="Imagen 11">
          <a:extLst>
            <a:ext uri="{FF2B5EF4-FFF2-40B4-BE49-F238E27FC236}">
              <a16:creationId xmlns:a16="http://schemas.microsoft.com/office/drawing/2014/main" id="{16E3873C-E685-4CE1-9FF3-1EB0D20D80FC}"/>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4" name="Imagen 12">
          <a:extLst>
            <a:ext uri="{FF2B5EF4-FFF2-40B4-BE49-F238E27FC236}">
              <a16:creationId xmlns:a16="http://schemas.microsoft.com/office/drawing/2014/main" id="{DD5277A8-5A09-49B0-89F6-F70F75C9DA07}"/>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5" name="Imagen 2">
          <a:extLst>
            <a:ext uri="{FF2B5EF4-FFF2-40B4-BE49-F238E27FC236}">
              <a16:creationId xmlns:a16="http://schemas.microsoft.com/office/drawing/2014/main" id="{5EACFF32-BEDB-43BD-982C-6FF512F7377C}"/>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6" name="Imagen 3">
          <a:extLst>
            <a:ext uri="{FF2B5EF4-FFF2-40B4-BE49-F238E27FC236}">
              <a16:creationId xmlns:a16="http://schemas.microsoft.com/office/drawing/2014/main" id="{8BD77E0E-1929-47C9-8C54-76813CF9EE75}"/>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7" name="Imagen 4">
          <a:extLst>
            <a:ext uri="{FF2B5EF4-FFF2-40B4-BE49-F238E27FC236}">
              <a16:creationId xmlns:a16="http://schemas.microsoft.com/office/drawing/2014/main" id="{9B028D56-DE53-4EF5-993A-ACB3CFA5AA23}"/>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8" name="Imagen 5">
          <a:extLst>
            <a:ext uri="{FF2B5EF4-FFF2-40B4-BE49-F238E27FC236}">
              <a16:creationId xmlns:a16="http://schemas.microsoft.com/office/drawing/2014/main" id="{23E87C6D-43B9-4AB7-8C2C-C52DD3AD90A9}"/>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9" name="Imagen 6">
          <a:extLst>
            <a:ext uri="{FF2B5EF4-FFF2-40B4-BE49-F238E27FC236}">
              <a16:creationId xmlns:a16="http://schemas.microsoft.com/office/drawing/2014/main" id="{2A42E264-A9BA-42A5-BE66-273976849D0E}"/>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0" name="Imagen 7">
          <a:extLst>
            <a:ext uri="{FF2B5EF4-FFF2-40B4-BE49-F238E27FC236}">
              <a16:creationId xmlns:a16="http://schemas.microsoft.com/office/drawing/2014/main" id="{CA5ABACD-0A05-4E19-8DCE-A7D1ECBDF1FD}"/>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1" name="Imagen 8">
          <a:extLst>
            <a:ext uri="{FF2B5EF4-FFF2-40B4-BE49-F238E27FC236}">
              <a16:creationId xmlns:a16="http://schemas.microsoft.com/office/drawing/2014/main" id="{AE6D9A94-9882-4DF8-B1BC-217FA529A0A4}"/>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2" name="Imagen 9">
          <a:extLst>
            <a:ext uri="{FF2B5EF4-FFF2-40B4-BE49-F238E27FC236}">
              <a16:creationId xmlns:a16="http://schemas.microsoft.com/office/drawing/2014/main" id="{9C64720B-637B-41AE-82F3-A9BDE6698980}"/>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3" name="Imagen 10">
          <a:extLst>
            <a:ext uri="{FF2B5EF4-FFF2-40B4-BE49-F238E27FC236}">
              <a16:creationId xmlns:a16="http://schemas.microsoft.com/office/drawing/2014/main" id="{C469F115-D29F-44EB-A3FB-A57C77E8887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4" name="Imagen 11">
          <a:extLst>
            <a:ext uri="{FF2B5EF4-FFF2-40B4-BE49-F238E27FC236}">
              <a16:creationId xmlns:a16="http://schemas.microsoft.com/office/drawing/2014/main" id="{9811C1B3-D541-465A-BE70-0FC515712C19}"/>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5" name="Imagen 12">
          <a:extLst>
            <a:ext uri="{FF2B5EF4-FFF2-40B4-BE49-F238E27FC236}">
              <a16:creationId xmlns:a16="http://schemas.microsoft.com/office/drawing/2014/main" id="{F6EFFE8A-A682-4207-B09C-8081C5A19045}"/>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6" name="Imagen 2">
          <a:extLst>
            <a:ext uri="{FF2B5EF4-FFF2-40B4-BE49-F238E27FC236}">
              <a16:creationId xmlns:a16="http://schemas.microsoft.com/office/drawing/2014/main" id="{C92CC771-5B85-4006-B220-868B32148F8B}"/>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7" name="Imagen 3">
          <a:extLst>
            <a:ext uri="{FF2B5EF4-FFF2-40B4-BE49-F238E27FC236}">
              <a16:creationId xmlns:a16="http://schemas.microsoft.com/office/drawing/2014/main" id="{89636DA5-207D-4E94-9369-C4AAF6054919}"/>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8" name="Imagen 4">
          <a:extLst>
            <a:ext uri="{FF2B5EF4-FFF2-40B4-BE49-F238E27FC236}">
              <a16:creationId xmlns:a16="http://schemas.microsoft.com/office/drawing/2014/main" id="{5759A1F6-D763-4427-AE89-0B30251E2DB2}"/>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9" name="Imagen 5">
          <a:extLst>
            <a:ext uri="{FF2B5EF4-FFF2-40B4-BE49-F238E27FC236}">
              <a16:creationId xmlns:a16="http://schemas.microsoft.com/office/drawing/2014/main" id="{CCF33478-A5CD-48F9-9FFF-96E4486B0989}"/>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0" name="Imagen 6">
          <a:extLst>
            <a:ext uri="{FF2B5EF4-FFF2-40B4-BE49-F238E27FC236}">
              <a16:creationId xmlns:a16="http://schemas.microsoft.com/office/drawing/2014/main" id="{7BEA385E-E872-4375-89AB-B2BEB78BF6F7}"/>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1" name="Imagen 7">
          <a:extLst>
            <a:ext uri="{FF2B5EF4-FFF2-40B4-BE49-F238E27FC236}">
              <a16:creationId xmlns:a16="http://schemas.microsoft.com/office/drawing/2014/main" id="{297EAAA8-F8F2-4348-8BCB-AE4F30E755FA}"/>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2" name="Imagen 8">
          <a:extLst>
            <a:ext uri="{FF2B5EF4-FFF2-40B4-BE49-F238E27FC236}">
              <a16:creationId xmlns:a16="http://schemas.microsoft.com/office/drawing/2014/main" id="{1B3C2F7A-1560-45B1-8987-C89AD8962C0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3" name="Imagen 9">
          <a:extLst>
            <a:ext uri="{FF2B5EF4-FFF2-40B4-BE49-F238E27FC236}">
              <a16:creationId xmlns:a16="http://schemas.microsoft.com/office/drawing/2014/main" id="{8DC26F1F-7562-4090-BC79-2774235B925B}"/>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4" name="Imagen 10">
          <a:extLst>
            <a:ext uri="{FF2B5EF4-FFF2-40B4-BE49-F238E27FC236}">
              <a16:creationId xmlns:a16="http://schemas.microsoft.com/office/drawing/2014/main" id="{92A3C34B-E7CE-4161-A846-3D418C08508C}"/>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5" name="Imagen 11">
          <a:extLst>
            <a:ext uri="{FF2B5EF4-FFF2-40B4-BE49-F238E27FC236}">
              <a16:creationId xmlns:a16="http://schemas.microsoft.com/office/drawing/2014/main" id="{41F1820D-40ED-48CE-97C2-88A770EE926E}"/>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6" name="Imagen 12">
          <a:extLst>
            <a:ext uri="{FF2B5EF4-FFF2-40B4-BE49-F238E27FC236}">
              <a16:creationId xmlns:a16="http://schemas.microsoft.com/office/drawing/2014/main" id="{198A7FC4-B6FE-4B49-B3B1-DAC174D37242}"/>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7" name="Imagen 2">
          <a:extLst>
            <a:ext uri="{FF2B5EF4-FFF2-40B4-BE49-F238E27FC236}">
              <a16:creationId xmlns:a16="http://schemas.microsoft.com/office/drawing/2014/main" id="{EDC49F9C-E33F-4CC1-8394-5F643905F28F}"/>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8" name="Imagen 3">
          <a:extLst>
            <a:ext uri="{FF2B5EF4-FFF2-40B4-BE49-F238E27FC236}">
              <a16:creationId xmlns:a16="http://schemas.microsoft.com/office/drawing/2014/main" id="{F03915FF-D03D-403F-842D-2D189C4B719F}"/>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9" name="Imagen 4">
          <a:extLst>
            <a:ext uri="{FF2B5EF4-FFF2-40B4-BE49-F238E27FC236}">
              <a16:creationId xmlns:a16="http://schemas.microsoft.com/office/drawing/2014/main" id="{A000A1D5-99B3-4BC7-9CBB-D8150B83EFAC}"/>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0" name="Imagen 5">
          <a:extLst>
            <a:ext uri="{FF2B5EF4-FFF2-40B4-BE49-F238E27FC236}">
              <a16:creationId xmlns:a16="http://schemas.microsoft.com/office/drawing/2014/main" id="{8C3C3159-DBCB-48A1-9D4C-52136EAD02A9}"/>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1" name="Imagen 6">
          <a:extLst>
            <a:ext uri="{FF2B5EF4-FFF2-40B4-BE49-F238E27FC236}">
              <a16:creationId xmlns:a16="http://schemas.microsoft.com/office/drawing/2014/main" id="{7B6C5498-6E61-4F22-9478-640A946EB214}"/>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2" name="Imagen 7">
          <a:extLst>
            <a:ext uri="{FF2B5EF4-FFF2-40B4-BE49-F238E27FC236}">
              <a16:creationId xmlns:a16="http://schemas.microsoft.com/office/drawing/2014/main" id="{639264DE-8397-4A38-8161-ADF861E86350}"/>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3" name="Imagen 8">
          <a:extLst>
            <a:ext uri="{FF2B5EF4-FFF2-40B4-BE49-F238E27FC236}">
              <a16:creationId xmlns:a16="http://schemas.microsoft.com/office/drawing/2014/main" id="{60B36589-CBA3-468A-9EF5-B31FB6D01FDD}"/>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4" name="Imagen 9">
          <a:extLst>
            <a:ext uri="{FF2B5EF4-FFF2-40B4-BE49-F238E27FC236}">
              <a16:creationId xmlns:a16="http://schemas.microsoft.com/office/drawing/2014/main" id="{8DFB585D-45A1-4563-BA1E-94CACA64182C}"/>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5" name="Imagen 10">
          <a:extLst>
            <a:ext uri="{FF2B5EF4-FFF2-40B4-BE49-F238E27FC236}">
              <a16:creationId xmlns:a16="http://schemas.microsoft.com/office/drawing/2014/main" id="{BC92CE39-FD49-41F4-97D5-8DDBBC5E39A3}"/>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6" name="Imagen 11">
          <a:extLst>
            <a:ext uri="{FF2B5EF4-FFF2-40B4-BE49-F238E27FC236}">
              <a16:creationId xmlns:a16="http://schemas.microsoft.com/office/drawing/2014/main" id="{61CC2A9F-4F2E-4E0D-AB60-D4A3B384F755}"/>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7" name="Imagen 12">
          <a:extLst>
            <a:ext uri="{FF2B5EF4-FFF2-40B4-BE49-F238E27FC236}">
              <a16:creationId xmlns:a16="http://schemas.microsoft.com/office/drawing/2014/main" id="{DE32FEA6-A5D8-4416-8AA4-AC8A18FEFACF}"/>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8" name="Imagen 2">
          <a:extLst>
            <a:ext uri="{FF2B5EF4-FFF2-40B4-BE49-F238E27FC236}">
              <a16:creationId xmlns:a16="http://schemas.microsoft.com/office/drawing/2014/main" id="{9493F939-BC05-4947-A96C-DC8367B0BC54}"/>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9" name="Imagen 3">
          <a:extLst>
            <a:ext uri="{FF2B5EF4-FFF2-40B4-BE49-F238E27FC236}">
              <a16:creationId xmlns:a16="http://schemas.microsoft.com/office/drawing/2014/main" id="{3D3D22C2-3188-4D11-BF87-2AB9BB108B08}"/>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0" name="Imagen 4">
          <a:extLst>
            <a:ext uri="{FF2B5EF4-FFF2-40B4-BE49-F238E27FC236}">
              <a16:creationId xmlns:a16="http://schemas.microsoft.com/office/drawing/2014/main" id="{BE52286E-6F3A-45EF-A64A-E8803E3D6183}"/>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1" name="Imagen 5">
          <a:extLst>
            <a:ext uri="{FF2B5EF4-FFF2-40B4-BE49-F238E27FC236}">
              <a16:creationId xmlns:a16="http://schemas.microsoft.com/office/drawing/2014/main" id="{5A25C314-3B02-406E-BC95-122ED3E2CF57}"/>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2" name="Imagen 6">
          <a:extLst>
            <a:ext uri="{FF2B5EF4-FFF2-40B4-BE49-F238E27FC236}">
              <a16:creationId xmlns:a16="http://schemas.microsoft.com/office/drawing/2014/main" id="{D8BB3A24-40CC-402E-802F-06FC60AF17DF}"/>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3" name="Imagen 7">
          <a:extLst>
            <a:ext uri="{FF2B5EF4-FFF2-40B4-BE49-F238E27FC236}">
              <a16:creationId xmlns:a16="http://schemas.microsoft.com/office/drawing/2014/main" id="{572A69C9-A88F-4AAF-AA81-1D6FB947503A}"/>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4" name="Imagen 8">
          <a:extLst>
            <a:ext uri="{FF2B5EF4-FFF2-40B4-BE49-F238E27FC236}">
              <a16:creationId xmlns:a16="http://schemas.microsoft.com/office/drawing/2014/main" id="{F17C9F84-C27D-42FD-8BB1-85F9231A8964}"/>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5" name="Imagen 9">
          <a:extLst>
            <a:ext uri="{FF2B5EF4-FFF2-40B4-BE49-F238E27FC236}">
              <a16:creationId xmlns:a16="http://schemas.microsoft.com/office/drawing/2014/main" id="{0F35BE4F-237B-4A2F-9572-D5B98848A41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6" name="Imagen 10">
          <a:extLst>
            <a:ext uri="{FF2B5EF4-FFF2-40B4-BE49-F238E27FC236}">
              <a16:creationId xmlns:a16="http://schemas.microsoft.com/office/drawing/2014/main" id="{76E70F4F-B5D5-4163-BF0D-39FBE324EEBB}"/>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7" name="Imagen 11">
          <a:extLst>
            <a:ext uri="{FF2B5EF4-FFF2-40B4-BE49-F238E27FC236}">
              <a16:creationId xmlns:a16="http://schemas.microsoft.com/office/drawing/2014/main" id="{4842FB34-0138-4E03-9602-3AB7AFB54D86}"/>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8" name="Imagen 12">
          <a:extLst>
            <a:ext uri="{FF2B5EF4-FFF2-40B4-BE49-F238E27FC236}">
              <a16:creationId xmlns:a16="http://schemas.microsoft.com/office/drawing/2014/main" id="{E9B872B9-4E02-48C0-B3A5-C4E4E259DB2C}"/>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9" name="Imagen 2">
          <a:extLst>
            <a:ext uri="{FF2B5EF4-FFF2-40B4-BE49-F238E27FC236}">
              <a16:creationId xmlns:a16="http://schemas.microsoft.com/office/drawing/2014/main" id="{80774B01-A250-491C-B796-1E168C3A2B1C}"/>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0" name="Imagen 3">
          <a:extLst>
            <a:ext uri="{FF2B5EF4-FFF2-40B4-BE49-F238E27FC236}">
              <a16:creationId xmlns:a16="http://schemas.microsoft.com/office/drawing/2014/main" id="{32DE5EFB-E7D0-4BA3-A584-3AC168B692DB}"/>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1" name="Imagen 4">
          <a:extLst>
            <a:ext uri="{FF2B5EF4-FFF2-40B4-BE49-F238E27FC236}">
              <a16:creationId xmlns:a16="http://schemas.microsoft.com/office/drawing/2014/main" id="{6170AED2-8AE2-45DB-896B-B0E14F7A0B7F}"/>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2" name="Imagen 5">
          <a:extLst>
            <a:ext uri="{FF2B5EF4-FFF2-40B4-BE49-F238E27FC236}">
              <a16:creationId xmlns:a16="http://schemas.microsoft.com/office/drawing/2014/main" id="{0C4B134F-33E7-4D71-B862-7BC3B5CF5B63}"/>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3" name="Imagen 6">
          <a:extLst>
            <a:ext uri="{FF2B5EF4-FFF2-40B4-BE49-F238E27FC236}">
              <a16:creationId xmlns:a16="http://schemas.microsoft.com/office/drawing/2014/main" id="{80472C22-5295-4445-97DB-CE02BD95D27E}"/>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4" name="Imagen 7">
          <a:extLst>
            <a:ext uri="{FF2B5EF4-FFF2-40B4-BE49-F238E27FC236}">
              <a16:creationId xmlns:a16="http://schemas.microsoft.com/office/drawing/2014/main" id="{8F83FC39-60C2-4BBF-83F7-5D9F8DF14820}"/>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5" name="Imagen 8">
          <a:extLst>
            <a:ext uri="{FF2B5EF4-FFF2-40B4-BE49-F238E27FC236}">
              <a16:creationId xmlns:a16="http://schemas.microsoft.com/office/drawing/2014/main" id="{82B0E5BA-876A-4C89-ADA4-07F7E727D3B0}"/>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6" name="Imagen 9">
          <a:extLst>
            <a:ext uri="{FF2B5EF4-FFF2-40B4-BE49-F238E27FC236}">
              <a16:creationId xmlns:a16="http://schemas.microsoft.com/office/drawing/2014/main" id="{932B2075-9ECA-4601-86A0-138226A9F6F2}"/>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7" name="Imagen 10">
          <a:extLst>
            <a:ext uri="{FF2B5EF4-FFF2-40B4-BE49-F238E27FC236}">
              <a16:creationId xmlns:a16="http://schemas.microsoft.com/office/drawing/2014/main" id="{E81BABED-0ECF-4AD0-8E1A-B5400731D93F}"/>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8" name="Imagen 11">
          <a:extLst>
            <a:ext uri="{FF2B5EF4-FFF2-40B4-BE49-F238E27FC236}">
              <a16:creationId xmlns:a16="http://schemas.microsoft.com/office/drawing/2014/main" id="{37C428EE-8E1D-4B6E-B947-AFE5522D5016}"/>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9" name="Imagen 12">
          <a:extLst>
            <a:ext uri="{FF2B5EF4-FFF2-40B4-BE49-F238E27FC236}">
              <a16:creationId xmlns:a16="http://schemas.microsoft.com/office/drawing/2014/main" id="{3B2C3808-ADD3-4B1C-A350-150AD5FA4D07}"/>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0" name="Imagen 2">
          <a:extLst>
            <a:ext uri="{FF2B5EF4-FFF2-40B4-BE49-F238E27FC236}">
              <a16:creationId xmlns:a16="http://schemas.microsoft.com/office/drawing/2014/main" id="{71C86D8C-69E6-4859-B596-929AC8BD71C7}"/>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1" name="Imagen 3">
          <a:extLst>
            <a:ext uri="{FF2B5EF4-FFF2-40B4-BE49-F238E27FC236}">
              <a16:creationId xmlns:a16="http://schemas.microsoft.com/office/drawing/2014/main" id="{E834E727-E26B-454F-B1E0-659B1CE038BE}"/>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2" name="Imagen 4">
          <a:extLst>
            <a:ext uri="{FF2B5EF4-FFF2-40B4-BE49-F238E27FC236}">
              <a16:creationId xmlns:a16="http://schemas.microsoft.com/office/drawing/2014/main" id="{A81E6302-46C7-4096-9E67-88AF0FA18CCD}"/>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3" name="Imagen 5">
          <a:extLst>
            <a:ext uri="{FF2B5EF4-FFF2-40B4-BE49-F238E27FC236}">
              <a16:creationId xmlns:a16="http://schemas.microsoft.com/office/drawing/2014/main" id="{301FCB43-F0FA-483E-A110-E92DF7673D0E}"/>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4" name="Imagen 6">
          <a:extLst>
            <a:ext uri="{FF2B5EF4-FFF2-40B4-BE49-F238E27FC236}">
              <a16:creationId xmlns:a16="http://schemas.microsoft.com/office/drawing/2014/main" id="{460A2C52-9F09-4C35-8EE2-A081709876C0}"/>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5" name="Imagen 7">
          <a:extLst>
            <a:ext uri="{FF2B5EF4-FFF2-40B4-BE49-F238E27FC236}">
              <a16:creationId xmlns:a16="http://schemas.microsoft.com/office/drawing/2014/main" id="{C13FE516-606D-4010-BF97-0C8E9EDDDD0E}"/>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6" name="Imagen 8">
          <a:extLst>
            <a:ext uri="{FF2B5EF4-FFF2-40B4-BE49-F238E27FC236}">
              <a16:creationId xmlns:a16="http://schemas.microsoft.com/office/drawing/2014/main" id="{ECFE6258-F6E4-4EC7-B927-E64745DD2647}"/>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7" name="Imagen 9">
          <a:extLst>
            <a:ext uri="{FF2B5EF4-FFF2-40B4-BE49-F238E27FC236}">
              <a16:creationId xmlns:a16="http://schemas.microsoft.com/office/drawing/2014/main" id="{A465CCAE-03CE-402E-A1B8-B997961AF0D5}"/>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8" name="Imagen 10">
          <a:extLst>
            <a:ext uri="{FF2B5EF4-FFF2-40B4-BE49-F238E27FC236}">
              <a16:creationId xmlns:a16="http://schemas.microsoft.com/office/drawing/2014/main" id="{9897F6A3-38F6-4486-9430-047C1117A5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9" name="Imagen 11">
          <a:extLst>
            <a:ext uri="{FF2B5EF4-FFF2-40B4-BE49-F238E27FC236}">
              <a16:creationId xmlns:a16="http://schemas.microsoft.com/office/drawing/2014/main" id="{720326AE-D631-4B5A-8511-A0CD477C8280}"/>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0" name="Imagen 12">
          <a:extLst>
            <a:ext uri="{FF2B5EF4-FFF2-40B4-BE49-F238E27FC236}">
              <a16:creationId xmlns:a16="http://schemas.microsoft.com/office/drawing/2014/main" id="{A9058458-6D11-4568-82D9-97CDF72AC1C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1" name="Imagen 2">
          <a:extLst>
            <a:ext uri="{FF2B5EF4-FFF2-40B4-BE49-F238E27FC236}">
              <a16:creationId xmlns:a16="http://schemas.microsoft.com/office/drawing/2014/main" id="{91C897EC-0F05-46CA-A8B0-B19FE3147349}"/>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2" name="Imagen 3">
          <a:extLst>
            <a:ext uri="{FF2B5EF4-FFF2-40B4-BE49-F238E27FC236}">
              <a16:creationId xmlns:a16="http://schemas.microsoft.com/office/drawing/2014/main" id="{CFB8919B-24F3-46B6-832F-8AA7A81473C9}"/>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3" name="Imagen 4">
          <a:extLst>
            <a:ext uri="{FF2B5EF4-FFF2-40B4-BE49-F238E27FC236}">
              <a16:creationId xmlns:a16="http://schemas.microsoft.com/office/drawing/2014/main" id="{CF8D4BC4-376D-4C76-957C-DAAFE279ED0A}"/>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4" name="Imagen 5">
          <a:extLst>
            <a:ext uri="{FF2B5EF4-FFF2-40B4-BE49-F238E27FC236}">
              <a16:creationId xmlns:a16="http://schemas.microsoft.com/office/drawing/2014/main" id="{B4A9B267-45C7-4952-A569-4890F691946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5" name="Imagen 6">
          <a:extLst>
            <a:ext uri="{FF2B5EF4-FFF2-40B4-BE49-F238E27FC236}">
              <a16:creationId xmlns:a16="http://schemas.microsoft.com/office/drawing/2014/main" id="{2869D242-9D57-49DD-B4C3-F0B1013AA4AA}"/>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6" name="Imagen 7">
          <a:extLst>
            <a:ext uri="{FF2B5EF4-FFF2-40B4-BE49-F238E27FC236}">
              <a16:creationId xmlns:a16="http://schemas.microsoft.com/office/drawing/2014/main" id="{DE906503-9931-4746-AFB7-1392FF1779DD}"/>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7" name="Imagen 8">
          <a:extLst>
            <a:ext uri="{FF2B5EF4-FFF2-40B4-BE49-F238E27FC236}">
              <a16:creationId xmlns:a16="http://schemas.microsoft.com/office/drawing/2014/main" id="{7C0BA139-C297-41BC-A440-9F73F8F108F7}"/>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8" name="Imagen 9">
          <a:extLst>
            <a:ext uri="{FF2B5EF4-FFF2-40B4-BE49-F238E27FC236}">
              <a16:creationId xmlns:a16="http://schemas.microsoft.com/office/drawing/2014/main" id="{7A1BE29C-A21C-4A85-9555-356835D12EC3}"/>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9" name="Imagen 10">
          <a:extLst>
            <a:ext uri="{FF2B5EF4-FFF2-40B4-BE49-F238E27FC236}">
              <a16:creationId xmlns:a16="http://schemas.microsoft.com/office/drawing/2014/main" id="{ABF66621-83B7-45C7-8257-A3BCFFDF6381}"/>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0" name="Imagen 11">
          <a:extLst>
            <a:ext uri="{FF2B5EF4-FFF2-40B4-BE49-F238E27FC236}">
              <a16:creationId xmlns:a16="http://schemas.microsoft.com/office/drawing/2014/main" id="{CF26F7D0-FF44-4C86-A50F-39B89AC9432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1" name="Imagen 12">
          <a:extLst>
            <a:ext uri="{FF2B5EF4-FFF2-40B4-BE49-F238E27FC236}">
              <a16:creationId xmlns:a16="http://schemas.microsoft.com/office/drawing/2014/main" id="{D28D1093-846C-44B8-B487-9586037B03FB}"/>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2" name="Imagen 2">
          <a:extLst>
            <a:ext uri="{FF2B5EF4-FFF2-40B4-BE49-F238E27FC236}">
              <a16:creationId xmlns:a16="http://schemas.microsoft.com/office/drawing/2014/main" id="{C35369C6-05CD-4F9D-B95A-4843CEB08045}"/>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3" name="Imagen 3">
          <a:extLst>
            <a:ext uri="{FF2B5EF4-FFF2-40B4-BE49-F238E27FC236}">
              <a16:creationId xmlns:a16="http://schemas.microsoft.com/office/drawing/2014/main" id="{9AD550DE-CD12-4CB2-B4A8-2D304D287A6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4" name="Imagen 4">
          <a:extLst>
            <a:ext uri="{FF2B5EF4-FFF2-40B4-BE49-F238E27FC236}">
              <a16:creationId xmlns:a16="http://schemas.microsoft.com/office/drawing/2014/main" id="{3A44C4A0-662F-4D7D-BABC-73650DBA003E}"/>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5" name="Imagen 5">
          <a:extLst>
            <a:ext uri="{FF2B5EF4-FFF2-40B4-BE49-F238E27FC236}">
              <a16:creationId xmlns:a16="http://schemas.microsoft.com/office/drawing/2014/main" id="{7BA95569-7664-4471-BB94-BB376C95C2E9}"/>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6" name="Imagen 6">
          <a:extLst>
            <a:ext uri="{FF2B5EF4-FFF2-40B4-BE49-F238E27FC236}">
              <a16:creationId xmlns:a16="http://schemas.microsoft.com/office/drawing/2014/main" id="{80699D5E-1A49-4689-815D-BFBDEF0222F6}"/>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7" name="Imagen 7">
          <a:extLst>
            <a:ext uri="{FF2B5EF4-FFF2-40B4-BE49-F238E27FC236}">
              <a16:creationId xmlns:a16="http://schemas.microsoft.com/office/drawing/2014/main" id="{81A2284D-D4F0-467F-AAD9-FA9CDC8F09A9}"/>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8" name="Imagen 8">
          <a:extLst>
            <a:ext uri="{FF2B5EF4-FFF2-40B4-BE49-F238E27FC236}">
              <a16:creationId xmlns:a16="http://schemas.microsoft.com/office/drawing/2014/main" id="{256E3F6D-CE0E-45F6-BA56-2D56FC7D3DDA}"/>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9" name="Imagen 9">
          <a:extLst>
            <a:ext uri="{FF2B5EF4-FFF2-40B4-BE49-F238E27FC236}">
              <a16:creationId xmlns:a16="http://schemas.microsoft.com/office/drawing/2014/main" id="{8DDF25BC-F2E1-4FD9-B07B-F0A54666CCF8}"/>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0" name="Imagen 10">
          <a:extLst>
            <a:ext uri="{FF2B5EF4-FFF2-40B4-BE49-F238E27FC236}">
              <a16:creationId xmlns:a16="http://schemas.microsoft.com/office/drawing/2014/main" id="{FAF8FB3F-0052-4461-BA73-9A922D990048}"/>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1" name="Imagen 11">
          <a:extLst>
            <a:ext uri="{FF2B5EF4-FFF2-40B4-BE49-F238E27FC236}">
              <a16:creationId xmlns:a16="http://schemas.microsoft.com/office/drawing/2014/main" id="{A13E1F71-CF0C-4F20-840E-E45C044E60DE}"/>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2" name="Imagen 12">
          <a:extLst>
            <a:ext uri="{FF2B5EF4-FFF2-40B4-BE49-F238E27FC236}">
              <a16:creationId xmlns:a16="http://schemas.microsoft.com/office/drawing/2014/main" id="{40E3A0FD-6FCE-4F75-A4E4-F4DE3C443E10}"/>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3" name="Imagen 2">
          <a:extLst>
            <a:ext uri="{FF2B5EF4-FFF2-40B4-BE49-F238E27FC236}">
              <a16:creationId xmlns:a16="http://schemas.microsoft.com/office/drawing/2014/main" id="{60A28C90-23C3-4440-904E-185EEE66ADE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4" name="Imagen 3">
          <a:extLst>
            <a:ext uri="{FF2B5EF4-FFF2-40B4-BE49-F238E27FC236}">
              <a16:creationId xmlns:a16="http://schemas.microsoft.com/office/drawing/2014/main" id="{4CDC7E26-71C0-4197-ADFF-0F2F5F35873C}"/>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5" name="Imagen 4">
          <a:extLst>
            <a:ext uri="{FF2B5EF4-FFF2-40B4-BE49-F238E27FC236}">
              <a16:creationId xmlns:a16="http://schemas.microsoft.com/office/drawing/2014/main" id="{963F215E-B73F-494A-BC48-BC9A9B06D680}"/>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6" name="Imagen 5">
          <a:extLst>
            <a:ext uri="{FF2B5EF4-FFF2-40B4-BE49-F238E27FC236}">
              <a16:creationId xmlns:a16="http://schemas.microsoft.com/office/drawing/2014/main" id="{E6CC4140-26FE-426A-A098-9763EEEFB6F3}"/>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7" name="Imagen 6">
          <a:extLst>
            <a:ext uri="{FF2B5EF4-FFF2-40B4-BE49-F238E27FC236}">
              <a16:creationId xmlns:a16="http://schemas.microsoft.com/office/drawing/2014/main" id="{E715EC9B-68D0-4559-8A0A-F48120471529}"/>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8" name="Imagen 7">
          <a:extLst>
            <a:ext uri="{FF2B5EF4-FFF2-40B4-BE49-F238E27FC236}">
              <a16:creationId xmlns:a16="http://schemas.microsoft.com/office/drawing/2014/main" id="{C14CB133-EB2D-4DBE-A893-039DC5F2016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9" name="Imagen 8">
          <a:extLst>
            <a:ext uri="{FF2B5EF4-FFF2-40B4-BE49-F238E27FC236}">
              <a16:creationId xmlns:a16="http://schemas.microsoft.com/office/drawing/2014/main" id="{ADCC1D3B-D72B-433A-9A6D-02C3D6B44D08}"/>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0" name="Imagen 9">
          <a:extLst>
            <a:ext uri="{FF2B5EF4-FFF2-40B4-BE49-F238E27FC236}">
              <a16:creationId xmlns:a16="http://schemas.microsoft.com/office/drawing/2014/main" id="{FD6B95D5-60C3-4E0E-B9EA-B17E89EE154A}"/>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1" name="Imagen 10">
          <a:extLst>
            <a:ext uri="{FF2B5EF4-FFF2-40B4-BE49-F238E27FC236}">
              <a16:creationId xmlns:a16="http://schemas.microsoft.com/office/drawing/2014/main" id="{662B3E59-79BA-471E-A788-917CFDB533E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2" name="Imagen 11">
          <a:extLst>
            <a:ext uri="{FF2B5EF4-FFF2-40B4-BE49-F238E27FC236}">
              <a16:creationId xmlns:a16="http://schemas.microsoft.com/office/drawing/2014/main" id="{CB18246C-37FB-4115-9C27-08435159820A}"/>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3" name="Imagen 12">
          <a:extLst>
            <a:ext uri="{FF2B5EF4-FFF2-40B4-BE49-F238E27FC236}">
              <a16:creationId xmlns:a16="http://schemas.microsoft.com/office/drawing/2014/main" id="{A2FB9255-3915-469F-9FFC-3DE4D18AB46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4" name="Imagen 2">
          <a:extLst>
            <a:ext uri="{FF2B5EF4-FFF2-40B4-BE49-F238E27FC236}">
              <a16:creationId xmlns:a16="http://schemas.microsoft.com/office/drawing/2014/main" id="{C18159CA-EF29-4A02-A2CA-E2FDBA631A5C}"/>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5" name="Imagen 3">
          <a:extLst>
            <a:ext uri="{FF2B5EF4-FFF2-40B4-BE49-F238E27FC236}">
              <a16:creationId xmlns:a16="http://schemas.microsoft.com/office/drawing/2014/main" id="{05FA9A09-F263-4749-8786-B5E10069462C}"/>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6" name="Imagen 4">
          <a:extLst>
            <a:ext uri="{FF2B5EF4-FFF2-40B4-BE49-F238E27FC236}">
              <a16:creationId xmlns:a16="http://schemas.microsoft.com/office/drawing/2014/main" id="{11857E5F-83D6-441A-8FB5-75F760373DF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7" name="Imagen 5">
          <a:extLst>
            <a:ext uri="{FF2B5EF4-FFF2-40B4-BE49-F238E27FC236}">
              <a16:creationId xmlns:a16="http://schemas.microsoft.com/office/drawing/2014/main" id="{681C9AD1-28C1-42E2-A846-FF76A0D2B3A6}"/>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8" name="Imagen 6">
          <a:extLst>
            <a:ext uri="{FF2B5EF4-FFF2-40B4-BE49-F238E27FC236}">
              <a16:creationId xmlns:a16="http://schemas.microsoft.com/office/drawing/2014/main" id="{705789F2-81B8-41B9-BDDC-849937C8EFC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9" name="Imagen 7">
          <a:extLst>
            <a:ext uri="{FF2B5EF4-FFF2-40B4-BE49-F238E27FC236}">
              <a16:creationId xmlns:a16="http://schemas.microsoft.com/office/drawing/2014/main" id="{9D57C758-753D-486C-992E-1E0EBB062C75}"/>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0" name="Imagen 8">
          <a:extLst>
            <a:ext uri="{FF2B5EF4-FFF2-40B4-BE49-F238E27FC236}">
              <a16:creationId xmlns:a16="http://schemas.microsoft.com/office/drawing/2014/main" id="{4FDCA781-73A5-4DFB-A1C2-9676D1FE7705}"/>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1" name="Imagen 9">
          <a:extLst>
            <a:ext uri="{FF2B5EF4-FFF2-40B4-BE49-F238E27FC236}">
              <a16:creationId xmlns:a16="http://schemas.microsoft.com/office/drawing/2014/main" id="{6A9AE4C3-3A26-4CD8-A3D1-A0ECB3F1088A}"/>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2" name="Imagen 10">
          <a:extLst>
            <a:ext uri="{FF2B5EF4-FFF2-40B4-BE49-F238E27FC236}">
              <a16:creationId xmlns:a16="http://schemas.microsoft.com/office/drawing/2014/main" id="{FBAA9EAB-87D5-4800-A086-629FB1771AE3}"/>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3" name="Imagen 11">
          <a:extLst>
            <a:ext uri="{FF2B5EF4-FFF2-40B4-BE49-F238E27FC236}">
              <a16:creationId xmlns:a16="http://schemas.microsoft.com/office/drawing/2014/main" id="{C48791A5-8F11-42AE-A08D-D164F731778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4" name="Imagen 12">
          <a:extLst>
            <a:ext uri="{FF2B5EF4-FFF2-40B4-BE49-F238E27FC236}">
              <a16:creationId xmlns:a16="http://schemas.microsoft.com/office/drawing/2014/main" id="{44BD4128-E9AA-4EEB-9A2E-EB52EB22D369}"/>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5" name="Imagen 2">
          <a:extLst>
            <a:ext uri="{FF2B5EF4-FFF2-40B4-BE49-F238E27FC236}">
              <a16:creationId xmlns:a16="http://schemas.microsoft.com/office/drawing/2014/main" id="{4E8E1589-CCC8-4DEE-A82D-2FD43BCC4AB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6" name="Imagen 3">
          <a:extLst>
            <a:ext uri="{FF2B5EF4-FFF2-40B4-BE49-F238E27FC236}">
              <a16:creationId xmlns:a16="http://schemas.microsoft.com/office/drawing/2014/main" id="{73B461A9-9F25-4E48-8627-59E717AD1CB8}"/>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7" name="Imagen 4">
          <a:extLst>
            <a:ext uri="{FF2B5EF4-FFF2-40B4-BE49-F238E27FC236}">
              <a16:creationId xmlns:a16="http://schemas.microsoft.com/office/drawing/2014/main" id="{2788EFDE-14A5-4B0F-A957-E3B1E4697033}"/>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8" name="Imagen 5">
          <a:extLst>
            <a:ext uri="{FF2B5EF4-FFF2-40B4-BE49-F238E27FC236}">
              <a16:creationId xmlns:a16="http://schemas.microsoft.com/office/drawing/2014/main" id="{E6092CBB-1BE9-4699-9DAF-6A078D93DECB}"/>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9" name="Imagen 6">
          <a:extLst>
            <a:ext uri="{FF2B5EF4-FFF2-40B4-BE49-F238E27FC236}">
              <a16:creationId xmlns:a16="http://schemas.microsoft.com/office/drawing/2014/main" id="{7B8A421D-6385-4253-A28E-C1A6077663C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0" name="Imagen 7">
          <a:extLst>
            <a:ext uri="{FF2B5EF4-FFF2-40B4-BE49-F238E27FC236}">
              <a16:creationId xmlns:a16="http://schemas.microsoft.com/office/drawing/2014/main" id="{1F4B119F-8EF4-4991-8E36-B514FE890E51}"/>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1" name="Imagen 8">
          <a:extLst>
            <a:ext uri="{FF2B5EF4-FFF2-40B4-BE49-F238E27FC236}">
              <a16:creationId xmlns:a16="http://schemas.microsoft.com/office/drawing/2014/main" id="{4D400733-28F4-4CC2-B1B5-4F8C4CDF4720}"/>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2" name="Imagen 9">
          <a:extLst>
            <a:ext uri="{FF2B5EF4-FFF2-40B4-BE49-F238E27FC236}">
              <a16:creationId xmlns:a16="http://schemas.microsoft.com/office/drawing/2014/main" id="{F2D27AB9-6AF8-431B-939C-594404F82A4E}"/>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3" name="Imagen 10">
          <a:extLst>
            <a:ext uri="{FF2B5EF4-FFF2-40B4-BE49-F238E27FC236}">
              <a16:creationId xmlns:a16="http://schemas.microsoft.com/office/drawing/2014/main" id="{D2A48D32-16E2-4F54-A90A-3E886125C357}"/>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4" name="Imagen 11">
          <a:extLst>
            <a:ext uri="{FF2B5EF4-FFF2-40B4-BE49-F238E27FC236}">
              <a16:creationId xmlns:a16="http://schemas.microsoft.com/office/drawing/2014/main" id="{8694C6F1-06BD-44CF-A801-EB5A5BCF9A1B}"/>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5" name="Imagen 12">
          <a:extLst>
            <a:ext uri="{FF2B5EF4-FFF2-40B4-BE49-F238E27FC236}">
              <a16:creationId xmlns:a16="http://schemas.microsoft.com/office/drawing/2014/main" id="{946EF0C5-8212-4074-A9D9-D1DFFA2DEA71}"/>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6" name="Imagen 2">
          <a:extLst>
            <a:ext uri="{FF2B5EF4-FFF2-40B4-BE49-F238E27FC236}">
              <a16:creationId xmlns:a16="http://schemas.microsoft.com/office/drawing/2014/main" id="{3FE03044-1DC6-4CEF-B045-4124E6CC3865}"/>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7" name="Imagen 3">
          <a:extLst>
            <a:ext uri="{FF2B5EF4-FFF2-40B4-BE49-F238E27FC236}">
              <a16:creationId xmlns:a16="http://schemas.microsoft.com/office/drawing/2014/main" id="{F2DD7CE1-2B49-4D9B-A4FE-96C19464BC9F}"/>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8" name="Imagen 4">
          <a:extLst>
            <a:ext uri="{FF2B5EF4-FFF2-40B4-BE49-F238E27FC236}">
              <a16:creationId xmlns:a16="http://schemas.microsoft.com/office/drawing/2014/main" id="{DE0D0A54-BE6E-466B-B5E1-9B74A2F176FB}"/>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9" name="Imagen 5">
          <a:extLst>
            <a:ext uri="{FF2B5EF4-FFF2-40B4-BE49-F238E27FC236}">
              <a16:creationId xmlns:a16="http://schemas.microsoft.com/office/drawing/2014/main" id="{56451A83-3742-46BB-A59B-FFFCBCDE658F}"/>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0" name="Imagen 6">
          <a:extLst>
            <a:ext uri="{FF2B5EF4-FFF2-40B4-BE49-F238E27FC236}">
              <a16:creationId xmlns:a16="http://schemas.microsoft.com/office/drawing/2014/main" id="{B5F01635-FFC2-452E-90B4-1E3E381D20D4}"/>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1" name="Imagen 7">
          <a:extLst>
            <a:ext uri="{FF2B5EF4-FFF2-40B4-BE49-F238E27FC236}">
              <a16:creationId xmlns:a16="http://schemas.microsoft.com/office/drawing/2014/main" id="{F5955930-8C20-464E-9A39-33774ED6A4BB}"/>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2" name="Imagen 8">
          <a:extLst>
            <a:ext uri="{FF2B5EF4-FFF2-40B4-BE49-F238E27FC236}">
              <a16:creationId xmlns:a16="http://schemas.microsoft.com/office/drawing/2014/main" id="{372809BA-EB5B-457F-9C45-20955550BD96}"/>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3" name="Imagen 9">
          <a:extLst>
            <a:ext uri="{FF2B5EF4-FFF2-40B4-BE49-F238E27FC236}">
              <a16:creationId xmlns:a16="http://schemas.microsoft.com/office/drawing/2014/main" id="{3AE2B2BF-11F2-4940-AC6B-10967A2C36C9}"/>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4" name="Imagen 10">
          <a:extLst>
            <a:ext uri="{FF2B5EF4-FFF2-40B4-BE49-F238E27FC236}">
              <a16:creationId xmlns:a16="http://schemas.microsoft.com/office/drawing/2014/main" id="{ECBC1134-8C96-4EC2-A5EE-50B184C6F48C}"/>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5" name="Imagen 11">
          <a:extLst>
            <a:ext uri="{FF2B5EF4-FFF2-40B4-BE49-F238E27FC236}">
              <a16:creationId xmlns:a16="http://schemas.microsoft.com/office/drawing/2014/main" id="{BDA73F99-B52C-4BDD-A780-B8D59C6994ED}"/>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6" name="Imagen 12">
          <a:extLst>
            <a:ext uri="{FF2B5EF4-FFF2-40B4-BE49-F238E27FC236}">
              <a16:creationId xmlns:a16="http://schemas.microsoft.com/office/drawing/2014/main" id="{9EB727EE-B2AF-45D4-B9AC-DE5D4DE62AE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7" name="Imagen 2">
          <a:extLst>
            <a:ext uri="{FF2B5EF4-FFF2-40B4-BE49-F238E27FC236}">
              <a16:creationId xmlns:a16="http://schemas.microsoft.com/office/drawing/2014/main" id="{2383F959-75C3-482E-95A0-D162FD4114BC}"/>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8" name="Imagen 3">
          <a:extLst>
            <a:ext uri="{FF2B5EF4-FFF2-40B4-BE49-F238E27FC236}">
              <a16:creationId xmlns:a16="http://schemas.microsoft.com/office/drawing/2014/main" id="{F26C8C9C-9F0B-480C-9C47-57BE3D54EE97}"/>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9" name="Imagen 4">
          <a:extLst>
            <a:ext uri="{FF2B5EF4-FFF2-40B4-BE49-F238E27FC236}">
              <a16:creationId xmlns:a16="http://schemas.microsoft.com/office/drawing/2014/main" id="{896FE2BB-2405-41F4-92B8-279CA808D596}"/>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0" name="Imagen 5">
          <a:extLst>
            <a:ext uri="{FF2B5EF4-FFF2-40B4-BE49-F238E27FC236}">
              <a16:creationId xmlns:a16="http://schemas.microsoft.com/office/drawing/2014/main" id="{D77CAF90-665C-43F5-A145-9D86F5EFDC6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1" name="Imagen 6">
          <a:extLst>
            <a:ext uri="{FF2B5EF4-FFF2-40B4-BE49-F238E27FC236}">
              <a16:creationId xmlns:a16="http://schemas.microsoft.com/office/drawing/2014/main" id="{007BB0BF-4CC5-4A08-92CA-BC80FCEDFFD4}"/>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2" name="Imagen 7">
          <a:extLst>
            <a:ext uri="{FF2B5EF4-FFF2-40B4-BE49-F238E27FC236}">
              <a16:creationId xmlns:a16="http://schemas.microsoft.com/office/drawing/2014/main" id="{BEDF1D8F-9647-4713-B052-D8A48C2284F2}"/>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3" name="Imagen 8">
          <a:extLst>
            <a:ext uri="{FF2B5EF4-FFF2-40B4-BE49-F238E27FC236}">
              <a16:creationId xmlns:a16="http://schemas.microsoft.com/office/drawing/2014/main" id="{125CB2A2-8750-403D-8685-5DEB280B078D}"/>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4" name="Imagen 9">
          <a:extLst>
            <a:ext uri="{FF2B5EF4-FFF2-40B4-BE49-F238E27FC236}">
              <a16:creationId xmlns:a16="http://schemas.microsoft.com/office/drawing/2014/main" id="{72FCD52B-23B6-4FA5-A29E-6400F38A980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5" name="Imagen 10">
          <a:extLst>
            <a:ext uri="{FF2B5EF4-FFF2-40B4-BE49-F238E27FC236}">
              <a16:creationId xmlns:a16="http://schemas.microsoft.com/office/drawing/2014/main" id="{2D7A1EC4-6B2D-4C2A-A356-D8134B69F140}"/>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6" name="Imagen 11">
          <a:extLst>
            <a:ext uri="{FF2B5EF4-FFF2-40B4-BE49-F238E27FC236}">
              <a16:creationId xmlns:a16="http://schemas.microsoft.com/office/drawing/2014/main" id="{8D1E07CF-6F1C-4212-94A8-807CD43A95D6}"/>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7" name="Imagen 12">
          <a:extLst>
            <a:ext uri="{FF2B5EF4-FFF2-40B4-BE49-F238E27FC236}">
              <a16:creationId xmlns:a16="http://schemas.microsoft.com/office/drawing/2014/main" id="{2E855FDD-71EA-4C9E-AA0F-88B617CD3BC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8" name="Imagen 2">
          <a:extLst>
            <a:ext uri="{FF2B5EF4-FFF2-40B4-BE49-F238E27FC236}">
              <a16:creationId xmlns:a16="http://schemas.microsoft.com/office/drawing/2014/main" id="{24F7A7A1-764C-474E-BD44-DE6792D0FBE3}"/>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9" name="Imagen 3">
          <a:extLst>
            <a:ext uri="{FF2B5EF4-FFF2-40B4-BE49-F238E27FC236}">
              <a16:creationId xmlns:a16="http://schemas.microsoft.com/office/drawing/2014/main" id="{709484BA-A77D-4CCD-A876-687EF1A513EA}"/>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0" name="Imagen 4">
          <a:extLst>
            <a:ext uri="{FF2B5EF4-FFF2-40B4-BE49-F238E27FC236}">
              <a16:creationId xmlns:a16="http://schemas.microsoft.com/office/drawing/2014/main" id="{01EBE0D3-8208-4CBE-8B0B-AE996CDB922E}"/>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1" name="Imagen 5">
          <a:extLst>
            <a:ext uri="{FF2B5EF4-FFF2-40B4-BE49-F238E27FC236}">
              <a16:creationId xmlns:a16="http://schemas.microsoft.com/office/drawing/2014/main" id="{E11B2422-1132-4A7B-A513-89455FFC03AF}"/>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2" name="Imagen 6">
          <a:extLst>
            <a:ext uri="{FF2B5EF4-FFF2-40B4-BE49-F238E27FC236}">
              <a16:creationId xmlns:a16="http://schemas.microsoft.com/office/drawing/2014/main" id="{AC11029D-CDEE-42D4-AA1F-646F8EC7CBA5}"/>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3" name="Imagen 7">
          <a:extLst>
            <a:ext uri="{FF2B5EF4-FFF2-40B4-BE49-F238E27FC236}">
              <a16:creationId xmlns:a16="http://schemas.microsoft.com/office/drawing/2014/main" id="{5DD372F4-80A8-46DD-A12D-2C3898A41BA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4" name="Imagen 8">
          <a:extLst>
            <a:ext uri="{FF2B5EF4-FFF2-40B4-BE49-F238E27FC236}">
              <a16:creationId xmlns:a16="http://schemas.microsoft.com/office/drawing/2014/main" id="{9D3AC7F7-8E63-4A6C-B5E7-4D00ADBFF6C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5" name="Imagen 9">
          <a:extLst>
            <a:ext uri="{FF2B5EF4-FFF2-40B4-BE49-F238E27FC236}">
              <a16:creationId xmlns:a16="http://schemas.microsoft.com/office/drawing/2014/main" id="{BBE45B75-5FF9-4561-AFEF-9260DF2D689F}"/>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6" name="Imagen 10">
          <a:extLst>
            <a:ext uri="{FF2B5EF4-FFF2-40B4-BE49-F238E27FC236}">
              <a16:creationId xmlns:a16="http://schemas.microsoft.com/office/drawing/2014/main" id="{D7D12FCF-A1C3-48E5-86A7-7FF93D6970BE}"/>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7" name="Imagen 11">
          <a:extLst>
            <a:ext uri="{FF2B5EF4-FFF2-40B4-BE49-F238E27FC236}">
              <a16:creationId xmlns:a16="http://schemas.microsoft.com/office/drawing/2014/main" id="{A0FC0A3F-354B-47CB-B24E-FD8B16792E61}"/>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8" name="Imagen 12">
          <a:extLst>
            <a:ext uri="{FF2B5EF4-FFF2-40B4-BE49-F238E27FC236}">
              <a16:creationId xmlns:a16="http://schemas.microsoft.com/office/drawing/2014/main" id="{934A04E1-870E-4E01-9D17-EB4660437435}"/>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9" name="Imagen 2">
          <a:extLst>
            <a:ext uri="{FF2B5EF4-FFF2-40B4-BE49-F238E27FC236}">
              <a16:creationId xmlns:a16="http://schemas.microsoft.com/office/drawing/2014/main" id="{F790F0EF-05DB-4BC0-B338-126B6D50E822}"/>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0" name="Imagen 3">
          <a:extLst>
            <a:ext uri="{FF2B5EF4-FFF2-40B4-BE49-F238E27FC236}">
              <a16:creationId xmlns:a16="http://schemas.microsoft.com/office/drawing/2014/main" id="{C82AB39E-D62E-4565-B3B3-70D7850D2FDB}"/>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1" name="Imagen 4">
          <a:extLst>
            <a:ext uri="{FF2B5EF4-FFF2-40B4-BE49-F238E27FC236}">
              <a16:creationId xmlns:a16="http://schemas.microsoft.com/office/drawing/2014/main" id="{79957E0C-0761-4663-A0AC-A18D4418B36F}"/>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2" name="Imagen 5">
          <a:extLst>
            <a:ext uri="{FF2B5EF4-FFF2-40B4-BE49-F238E27FC236}">
              <a16:creationId xmlns:a16="http://schemas.microsoft.com/office/drawing/2014/main" id="{954434EC-2748-4E9B-BC60-0B962E2045E1}"/>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3" name="Imagen 6">
          <a:extLst>
            <a:ext uri="{FF2B5EF4-FFF2-40B4-BE49-F238E27FC236}">
              <a16:creationId xmlns:a16="http://schemas.microsoft.com/office/drawing/2014/main" id="{F464F094-8C57-41F1-914D-B8D6476F56A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4" name="Imagen 7">
          <a:extLst>
            <a:ext uri="{FF2B5EF4-FFF2-40B4-BE49-F238E27FC236}">
              <a16:creationId xmlns:a16="http://schemas.microsoft.com/office/drawing/2014/main" id="{C34C251F-4772-4D1F-95B3-81E6BEA3350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5" name="Imagen 8">
          <a:extLst>
            <a:ext uri="{FF2B5EF4-FFF2-40B4-BE49-F238E27FC236}">
              <a16:creationId xmlns:a16="http://schemas.microsoft.com/office/drawing/2014/main" id="{A2A3B902-3F10-4A23-9B2B-DE6C10C445D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6" name="Imagen 9">
          <a:extLst>
            <a:ext uri="{FF2B5EF4-FFF2-40B4-BE49-F238E27FC236}">
              <a16:creationId xmlns:a16="http://schemas.microsoft.com/office/drawing/2014/main" id="{C8FEFD98-D57B-4665-B4CF-053ECBB276FA}"/>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7" name="Imagen 10">
          <a:extLst>
            <a:ext uri="{FF2B5EF4-FFF2-40B4-BE49-F238E27FC236}">
              <a16:creationId xmlns:a16="http://schemas.microsoft.com/office/drawing/2014/main" id="{F344CA0B-7180-4DA6-BB67-1C5D00FE0E14}"/>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8" name="Imagen 11">
          <a:extLst>
            <a:ext uri="{FF2B5EF4-FFF2-40B4-BE49-F238E27FC236}">
              <a16:creationId xmlns:a16="http://schemas.microsoft.com/office/drawing/2014/main" id="{2EF65CFB-18E4-4CAA-AAA7-A1D7B1C0B51C}"/>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9" name="Imagen 12">
          <a:extLst>
            <a:ext uri="{FF2B5EF4-FFF2-40B4-BE49-F238E27FC236}">
              <a16:creationId xmlns:a16="http://schemas.microsoft.com/office/drawing/2014/main" id="{BB44B2A8-0508-477B-9F35-F54A28E6B3EF}"/>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0" name="Imagen 2">
          <a:extLst>
            <a:ext uri="{FF2B5EF4-FFF2-40B4-BE49-F238E27FC236}">
              <a16:creationId xmlns:a16="http://schemas.microsoft.com/office/drawing/2014/main" id="{3B41AB6B-7A6C-43A2-90DF-40D03FD04475}"/>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1" name="Imagen 3">
          <a:extLst>
            <a:ext uri="{FF2B5EF4-FFF2-40B4-BE49-F238E27FC236}">
              <a16:creationId xmlns:a16="http://schemas.microsoft.com/office/drawing/2014/main" id="{03E537D6-E919-4004-A0B2-533F07DD719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2" name="Imagen 4">
          <a:extLst>
            <a:ext uri="{FF2B5EF4-FFF2-40B4-BE49-F238E27FC236}">
              <a16:creationId xmlns:a16="http://schemas.microsoft.com/office/drawing/2014/main" id="{FA6D5B2B-B252-4472-BCAA-3FED1FB6BF53}"/>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3" name="Imagen 5">
          <a:extLst>
            <a:ext uri="{FF2B5EF4-FFF2-40B4-BE49-F238E27FC236}">
              <a16:creationId xmlns:a16="http://schemas.microsoft.com/office/drawing/2014/main" id="{C5D7F4C8-3FDB-4A46-AF00-9C8AA77B6293}"/>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4" name="Imagen 6">
          <a:extLst>
            <a:ext uri="{FF2B5EF4-FFF2-40B4-BE49-F238E27FC236}">
              <a16:creationId xmlns:a16="http://schemas.microsoft.com/office/drawing/2014/main" id="{A9363450-D12F-47EB-A65A-E0958D574004}"/>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5" name="Imagen 7">
          <a:extLst>
            <a:ext uri="{FF2B5EF4-FFF2-40B4-BE49-F238E27FC236}">
              <a16:creationId xmlns:a16="http://schemas.microsoft.com/office/drawing/2014/main" id="{3BF453E8-919B-4769-9512-F8678F6EF01E}"/>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6" name="Imagen 8">
          <a:extLst>
            <a:ext uri="{FF2B5EF4-FFF2-40B4-BE49-F238E27FC236}">
              <a16:creationId xmlns:a16="http://schemas.microsoft.com/office/drawing/2014/main" id="{D1A6B863-A570-4B09-978E-25B3705C0EE7}"/>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7" name="Imagen 9">
          <a:extLst>
            <a:ext uri="{FF2B5EF4-FFF2-40B4-BE49-F238E27FC236}">
              <a16:creationId xmlns:a16="http://schemas.microsoft.com/office/drawing/2014/main" id="{07D0DBCF-C375-4A1D-93FA-D689366C8FE1}"/>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8" name="Imagen 10">
          <a:extLst>
            <a:ext uri="{FF2B5EF4-FFF2-40B4-BE49-F238E27FC236}">
              <a16:creationId xmlns:a16="http://schemas.microsoft.com/office/drawing/2014/main" id="{D8F9EBD4-3F79-45E5-A6E4-E7D043702128}"/>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9" name="Imagen 11">
          <a:extLst>
            <a:ext uri="{FF2B5EF4-FFF2-40B4-BE49-F238E27FC236}">
              <a16:creationId xmlns:a16="http://schemas.microsoft.com/office/drawing/2014/main" id="{578F5A5E-586F-4315-87B7-1A6F904679F6}"/>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0" name="Imagen 12">
          <a:extLst>
            <a:ext uri="{FF2B5EF4-FFF2-40B4-BE49-F238E27FC236}">
              <a16:creationId xmlns:a16="http://schemas.microsoft.com/office/drawing/2014/main" id="{882329F5-F62F-4D5E-9A0E-C99138CD41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1" name="Imagen 2">
          <a:extLst>
            <a:ext uri="{FF2B5EF4-FFF2-40B4-BE49-F238E27FC236}">
              <a16:creationId xmlns:a16="http://schemas.microsoft.com/office/drawing/2014/main" id="{DE57EAC5-7D5D-4349-B9CE-D103F3E90DFF}"/>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2" name="Imagen 3">
          <a:extLst>
            <a:ext uri="{FF2B5EF4-FFF2-40B4-BE49-F238E27FC236}">
              <a16:creationId xmlns:a16="http://schemas.microsoft.com/office/drawing/2014/main" id="{926DE4B3-C799-4469-B61E-B54F28186090}"/>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3" name="Imagen 4">
          <a:extLst>
            <a:ext uri="{FF2B5EF4-FFF2-40B4-BE49-F238E27FC236}">
              <a16:creationId xmlns:a16="http://schemas.microsoft.com/office/drawing/2014/main" id="{0D90DD51-F691-4299-B4D4-14E516697A6A}"/>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4" name="Imagen 5">
          <a:extLst>
            <a:ext uri="{FF2B5EF4-FFF2-40B4-BE49-F238E27FC236}">
              <a16:creationId xmlns:a16="http://schemas.microsoft.com/office/drawing/2014/main" id="{D9C7FB83-8428-40C0-B67A-3FA6FB35A44F}"/>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5" name="Imagen 6">
          <a:extLst>
            <a:ext uri="{FF2B5EF4-FFF2-40B4-BE49-F238E27FC236}">
              <a16:creationId xmlns:a16="http://schemas.microsoft.com/office/drawing/2014/main" id="{51CC13F1-3DA1-433A-BC63-61AAC509A662}"/>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6" name="Imagen 7">
          <a:extLst>
            <a:ext uri="{FF2B5EF4-FFF2-40B4-BE49-F238E27FC236}">
              <a16:creationId xmlns:a16="http://schemas.microsoft.com/office/drawing/2014/main" id="{9279EE39-9A49-4F15-9E24-44614FC621E9}"/>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7" name="Imagen 8">
          <a:extLst>
            <a:ext uri="{FF2B5EF4-FFF2-40B4-BE49-F238E27FC236}">
              <a16:creationId xmlns:a16="http://schemas.microsoft.com/office/drawing/2014/main" id="{E0C36B4D-FC6D-48F2-B09D-B56E4917D486}"/>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8" name="Imagen 9">
          <a:extLst>
            <a:ext uri="{FF2B5EF4-FFF2-40B4-BE49-F238E27FC236}">
              <a16:creationId xmlns:a16="http://schemas.microsoft.com/office/drawing/2014/main" id="{4EDB27EF-7558-467F-A385-F7268DE64CE1}"/>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9" name="Imagen 10">
          <a:extLst>
            <a:ext uri="{FF2B5EF4-FFF2-40B4-BE49-F238E27FC236}">
              <a16:creationId xmlns:a16="http://schemas.microsoft.com/office/drawing/2014/main" id="{AE1868C3-3B0D-4D3F-A421-779970A92ED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0" name="Imagen 11">
          <a:extLst>
            <a:ext uri="{FF2B5EF4-FFF2-40B4-BE49-F238E27FC236}">
              <a16:creationId xmlns:a16="http://schemas.microsoft.com/office/drawing/2014/main" id="{8E9E725B-8FA8-467C-870B-2BD11276C058}"/>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1" name="Imagen 12">
          <a:extLst>
            <a:ext uri="{FF2B5EF4-FFF2-40B4-BE49-F238E27FC236}">
              <a16:creationId xmlns:a16="http://schemas.microsoft.com/office/drawing/2014/main" id="{FBD4AA5A-079A-481C-BA59-4AD71BB57C16}"/>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2" name="Imagen 2">
          <a:extLst>
            <a:ext uri="{FF2B5EF4-FFF2-40B4-BE49-F238E27FC236}">
              <a16:creationId xmlns:a16="http://schemas.microsoft.com/office/drawing/2014/main" id="{ECE73D30-2227-44E0-89AB-E4045CA2581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3" name="Imagen 3">
          <a:extLst>
            <a:ext uri="{FF2B5EF4-FFF2-40B4-BE49-F238E27FC236}">
              <a16:creationId xmlns:a16="http://schemas.microsoft.com/office/drawing/2014/main" id="{10A639DC-A639-4341-B34A-885AD8EDB06A}"/>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4" name="Imagen 4">
          <a:extLst>
            <a:ext uri="{FF2B5EF4-FFF2-40B4-BE49-F238E27FC236}">
              <a16:creationId xmlns:a16="http://schemas.microsoft.com/office/drawing/2014/main" id="{F4B059BA-F353-473B-88E4-5D2684EA81A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5" name="Imagen 5">
          <a:extLst>
            <a:ext uri="{FF2B5EF4-FFF2-40B4-BE49-F238E27FC236}">
              <a16:creationId xmlns:a16="http://schemas.microsoft.com/office/drawing/2014/main" id="{0D934DF0-E890-4BCE-9087-173C2E9EDE17}"/>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6" name="Imagen 6">
          <a:extLst>
            <a:ext uri="{FF2B5EF4-FFF2-40B4-BE49-F238E27FC236}">
              <a16:creationId xmlns:a16="http://schemas.microsoft.com/office/drawing/2014/main" id="{EB379CAD-53AC-4529-B893-FE0CF1F1C6D4}"/>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7" name="Imagen 7">
          <a:extLst>
            <a:ext uri="{FF2B5EF4-FFF2-40B4-BE49-F238E27FC236}">
              <a16:creationId xmlns:a16="http://schemas.microsoft.com/office/drawing/2014/main" id="{A43227A8-2E03-487B-8C34-3276CAA32164}"/>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8" name="Imagen 8">
          <a:extLst>
            <a:ext uri="{FF2B5EF4-FFF2-40B4-BE49-F238E27FC236}">
              <a16:creationId xmlns:a16="http://schemas.microsoft.com/office/drawing/2014/main" id="{30599616-E352-4BE2-90A6-C12FED98960A}"/>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9" name="Imagen 9">
          <a:extLst>
            <a:ext uri="{FF2B5EF4-FFF2-40B4-BE49-F238E27FC236}">
              <a16:creationId xmlns:a16="http://schemas.microsoft.com/office/drawing/2014/main" id="{568EB351-2583-4503-89B7-F669EEC4CA7E}"/>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0" name="Imagen 10">
          <a:extLst>
            <a:ext uri="{FF2B5EF4-FFF2-40B4-BE49-F238E27FC236}">
              <a16:creationId xmlns:a16="http://schemas.microsoft.com/office/drawing/2014/main" id="{5F5326B8-705B-4E4A-A9E8-30B13C795678}"/>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1" name="Imagen 11">
          <a:extLst>
            <a:ext uri="{FF2B5EF4-FFF2-40B4-BE49-F238E27FC236}">
              <a16:creationId xmlns:a16="http://schemas.microsoft.com/office/drawing/2014/main" id="{2C4FAE63-56BE-4ABA-A66F-E6861B7C3705}"/>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2" name="Imagen 12">
          <a:extLst>
            <a:ext uri="{FF2B5EF4-FFF2-40B4-BE49-F238E27FC236}">
              <a16:creationId xmlns:a16="http://schemas.microsoft.com/office/drawing/2014/main" id="{455859B1-7DD9-4DA6-B44A-9ECE3B9070B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3" name="Imagen 2">
          <a:extLst>
            <a:ext uri="{FF2B5EF4-FFF2-40B4-BE49-F238E27FC236}">
              <a16:creationId xmlns:a16="http://schemas.microsoft.com/office/drawing/2014/main" id="{9D15961B-6900-4861-BB04-8D843D50FF44}"/>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4" name="Imagen 3">
          <a:extLst>
            <a:ext uri="{FF2B5EF4-FFF2-40B4-BE49-F238E27FC236}">
              <a16:creationId xmlns:a16="http://schemas.microsoft.com/office/drawing/2014/main" id="{A9347C9C-11E8-4EC9-91B5-A7D2ACBFA593}"/>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5" name="Imagen 4">
          <a:extLst>
            <a:ext uri="{FF2B5EF4-FFF2-40B4-BE49-F238E27FC236}">
              <a16:creationId xmlns:a16="http://schemas.microsoft.com/office/drawing/2014/main" id="{A12ECD39-D030-444D-B1E5-9960F6469351}"/>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6" name="Imagen 5">
          <a:extLst>
            <a:ext uri="{FF2B5EF4-FFF2-40B4-BE49-F238E27FC236}">
              <a16:creationId xmlns:a16="http://schemas.microsoft.com/office/drawing/2014/main" id="{5B96E725-0974-4127-832D-519036C0C0ED}"/>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7" name="Imagen 6">
          <a:extLst>
            <a:ext uri="{FF2B5EF4-FFF2-40B4-BE49-F238E27FC236}">
              <a16:creationId xmlns:a16="http://schemas.microsoft.com/office/drawing/2014/main" id="{61798E64-B557-4CC6-81B8-1C75646694FD}"/>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8" name="Imagen 7">
          <a:extLst>
            <a:ext uri="{FF2B5EF4-FFF2-40B4-BE49-F238E27FC236}">
              <a16:creationId xmlns:a16="http://schemas.microsoft.com/office/drawing/2014/main" id="{7055E722-4FA5-49A1-9DE8-C9984F00BD05}"/>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9" name="Imagen 8">
          <a:extLst>
            <a:ext uri="{FF2B5EF4-FFF2-40B4-BE49-F238E27FC236}">
              <a16:creationId xmlns:a16="http://schemas.microsoft.com/office/drawing/2014/main" id="{5D417D79-5F53-4FAA-BA45-D3FF06E0F806}"/>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0" name="Imagen 9">
          <a:extLst>
            <a:ext uri="{FF2B5EF4-FFF2-40B4-BE49-F238E27FC236}">
              <a16:creationId xmlns:a16="http://schemas.microsoft.com/office/drawing/2014/main" id="{9EE15A66-7F64-4D9E-A0D1-1C1D23A54CD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1" name="Imagen 10">
          <a:extLst>
            <a:ext uri="{FF2B5EF4-FFF2-40B4-BE49-F238E27FC236}">
              <a16:creationId xmlns:a16="http://schemas.microsoft.com/office/drawing/2014/main" id="{7B77F782-E052-4F85-80FF-69F07293863D}"/>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2" name="Imagen 11">
          <a:extLst>
            <a:ext uri="{FF2B5EF4-FFF2-40B4-BE49-F238E27FC236}">
              <a16:creationId xmlns:a16="http://schemas.microsoft.com/office/drawing/2014/main" id="{3BC59A87-C73A-4BA8-A203-F6CB8C43DE54}"/>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3" name="Imagen 12">
          <a:extLst>
            <a:ext uri="{FF2B5EF4-FFF2-40B4-BE49-F238E27FC236}">
              <a16:creationId xmlns:a16="http://schemas.microsoft.com/office/drawing/2014/main" id="{1893A03B-9BF5-4EC4-AC3F-B4F17D7CCEA5}"/>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4" name="Imagen 2">
          <a:extLst>
            <a:ext uri="{FF2B5EF4-FFF2-40B4-BE49-F238E27FC236}">
              <a16:creationId xmlns:a16="http://schemas.microsoft.com/office/drawing/2014/main" id="{FD13A8B8-68BD-4920-808E-509139251807}"/>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5" name="Imagen 3">
          <a:extLst>
            <a:ext uri="{FF2B5EF4-FFF2-40B4-BE49-F238E27FC236}">
              <a16:creationId xmlns:a16="http://schemas.microsoft.com/office/drawing/2014/main" id="{7F264FA4-75A5-4454-AAA3-F07273CCF9FE}"/>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6" name="Imagen 4">
          <a:extLst>
            <a:ext uri="{FF2B5EF4-FFF2-40B4-BE49-F238E27FC236}">
              <a16:creationId xmlns:a16="http://schemas.microsoft.com/office/drawing/2014/main" id="{366F633F-D16C-43C4-85F2-BD60C21882BC}"/>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7" name="Imagen 5">
          <a:extLst>
            <a:ext uri="{FF2B5EF4-FFF2-40B4-BE49-F238E27FC236}">
              <a16:creationId xmlns:a16="http://schemas.microsoft.com/office/drawing/2014/main" id="{C6F22AD4-4728-4B3B-BEF2-4A2A77D804C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8" name="Imagen 6">
          <a:extLst>
            <a:ext uri="{FF2B5EF4-FFF2-40B4-BE49-F238E27FC236}">
              <a16:creationId xmlns:a16="http://schemas.microsoft.com/office/drawing/2014/main" id="{92389CB9-CC67-4232-A366-09CB1F2D6A77}"/>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9" name="Imagen 7">
          <a:extLst>
            <a:ext uri="{FF2B5EF4-FFF2-40B4-BE49-F238E27FC236}">
              <a16:creationId xmlns:a16="http://schemas.microsoft.com/office/drawing/2014/main" id="{308BE38F-6D74-40F1-963E-125CC2317121}"/>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0" name="Imagen 8">
          <a:extLst>
            <a:ext uri="{FF2B5EF4-FFF2-40B4-BE49-F238E27FC236}">
              <a16:creationId xmlns:a16="http://schemas.microsoft.com/office/drawing/2014/main" id="{2CD6F697-066D-4083-8E5B-2CE5B8837A3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1" name="Imagen 9">
          <a:extLst>
            <a:ext uri="{FF2B5EF4-FFF2-40B4-BE49-F238E27FC236}">
              <a16:creationId xmlns:a16="http://schemas.microsoft.com/office/drawing/2014/main" id="{6E650BA7-4E3C-43FD-B8F7-5CAF59DAA886}"/>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2" name="Imagen 10">
          <a:extLst>
            <a:ext uri="{FF2B5EF4-FFF2-40B4-BE49-F238E27FC236}">
              <a16:creationId xmlns:a16="http://schemas.microsoft.com/office/drawing/2014/main" id="{4A948BAC-4593-4388-B565-FAC06D838897}"/>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3" name="Imagen 11">
          <a:extLst>
            <a:ext uri="{FF2B5EF4-FFF2-40B4-BE49-F238E27FC236}">
              <a16:creationId xmlns:a16="http://schemas.microsoft.com/office/drawing/2014/main" id="{1CF4A95A-E667-4D93-BBCE-319CB3221822}"/>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4" name="Imagen 12">
          <a:extLst>
            <a:ext uri="{FF2B5EF4-FFF2-40B4-BE49-F238E27FC236}">
              <a16:creationId xmlns:a16="http://schemas.microsoft.com/office/drawing/2014/main" id="{7924526D-9141-4225-9A88-2C73654B3CE1}"/>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5" name="Imagen 2">
          <a:extLst>
            <a:ext uri="{FF2B5EF4-FFF2-40B4-BE49-F238E27FC236}">
              <a16:creationId xmlns:a16="http://schemas.microsoft.com/office/drawing/2014/main" id="{2352AFFF-7D5B-4B0D-8954-D9AFC7000ED3}"/>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6" name="Imagen 3">
          <a:extLst>
            <a:ext uri="{FF2B5EF4-FFF2-40B4-BE49-F238E27FC236}">
              <a16:creationId xmlns:a16="http://schemas.microsoft.com/office/drawing/2014/main" id="{370BD1AE-6729-4809-AD2A-D0C235C6C85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7" name="Imagen 4">
          <a:extLst>
            <a:ext uri="{FF2B5EF4-FFF2-40B4-BE49-F238E27FC236}">
              <a16:creationId xmlns:a16="http://schemas.microsoft.com/office/drawing/2014/main" id="{DF082DA5-D9F8-4336-A7D1-686A3D76B6DC}"/>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8" name="Imagen 5">
          <a:extLst>
            <a:ext uri="{FF2B5EF4-FFF2-40B4-BE49-F238E27FC236}">
              <a16:creationId xmlns:a16="http://schemas.microsoft.com/office/drawing/2014/main" id="{9C7B2F07-8CF5-4E1E-9A7C-796F229790DF}"/>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9" name="Imagen 6">
          <a:extLst>
            <a:ext uri="{FF2B5EF4-FFF2-40B4-BE49-F238E27FC236}">
              <a16:creationId xmlns:a16="http://schemas.microsoft.com/office/drawing/2014/main" id="{80837311-7A72-4E88-B03D-DEFA2B8998E4}"/>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0" name="Imagen 7">
          <a:extLst>
            <a:ext uri="{FF2B5EF4-FFF2-40B4-BE49-F238E27FC236}">
              <a16:creationId xmlns:a16="http://schemas.microsoft.com/office/drawing/2014/main" id="{2D44F8E3-B806-4837-842A-D58EEFFEBF9F}"/>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1" name="Imagen 8">
          <a:extLst>
            <a:ext uri="{FF2B5EF4-FFF2-40B4-BE49-F238E27FC236}">
              <a16:creationId xmlns:a16="http://schemas.microsoft.com/office/drawing/2014/main" id="{ECD2CDD8-9683-4DE5-BB05-EA5AD99E79DA}"/>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2" name="Imagen 9">
          <a:extLst>
            <a:ext uri="{FF2B5EF4-FFF2-40B4-BE49-F238E27FC236}">
              <a16:creationId xmlns:a16="http://schemas.microsoft.com/office/drawing/2014/main" id="{71695142-47F2-47DA-BB05-EFDD3222BE99}"/>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3" name="Imagen 10">
          <a:extLst>
            <a:ext uri="{FF2B5EF4-FFF2-40B4-BE49-F238E27FC236}">
              <a16:creationId xmlns:a16="http://schemas.microsoft.com/office/drawing/2014/main" id="{BC5851DC-CB05-4575-A1F2-84D13D69590D}"/>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4" name="Imagen 11">
          <a:extLst>
            <a:ext uri="{FF2B5EF4-FFF2-40B4-BE49-F238E27FC236}">
              <a16:creationId xmlns:a16="http://schemas.microsoft.com/office/drawing/2014/main" id="{17EA61D0-55FA-4A4A-A878-F0F59BDE98A0}"/>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5" name="Imagen 12">
          <a:extLst>
            <a:ext uri="{FF2B5EF4-FFF2-40B4-BE49-F238E27FC236}">
              <a16:creationId xmlns:a16="http://schemas.microsoft.com/office/drawing/2014/main" id="{0AA12BC7-D90C-4342-B262-4BF8CE159C22}"/>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6" name="Imagen 2">
          <a:extLst>
            <a:ext uri="{FF2B5EF4-FFF2-40B4-BE49-F238E27FC236}">
              <a16:creationId xmlns:a16="http://schemas.microsoft.com/office/drawing/2014/main" id="{E3FFDE51-D77F-4D05-AA0D-D765847A3659}"/>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7" name="Imagen 3">
          <a:extLst>
            <a:ext uri="{FF2B5EF4-FFF2-40B4-BE49-F238E27FC236}">
              <a16:creationId xmlns:a16="http://schemas.microsoft.com/office/drawing/2014/main" id="{22C92825-1B13-413C-970D-DCF7A2893CC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8" name="Imagen 4">
          <a:extLst>
            <a:ext uri="{FF2B5EF4-FFF2-40B4-BE49-F238E27FC236}">
              <a16:creationId xmlns:a16="http://schemas.microsoft.com/office/drawing/2014/main" id="{2B699B2D-AB36-4796-8E1F-E6A1916CFC10}"/>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9" name="Imagen 5">
          <a:extLst>
            <a:ext uri="{FF2B5EF4-FFF2-40B4-BE49-F238E27FC236}">
              <a16:creationId xmlns:a16="http://schemas.microsoft.com/office/drawing/2014/main" id="{A6947F84-3E77-465D-9534-F23F1BF96138}"/>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0" name="Imagen 6">
          <a:extLst>
            <a:ext uri="{FF2B5EF4-FFF2-40B4-BE49-F238E27FC236}">
              <a16:creationId xmlns:a16="http://schemas.microsoft.com/office/drawing/2014/main" id="{EEC8AA14-20C9-48B2-B9DB-14B8831BF17A}"/>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1" name="Imagen 7">
          <a:extLst>
            <a:ext uri="{FF2B5EF4-FFF2-40B4-BE49-F238E27FC236}">
              <a16:creationId xmlns:a16="http://schemas.microsoft.com/office/drawing/2014/main" id="{35C6D4F8-BC5A-4C49-B6FE-FBE56351A05C}"/>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2" name="Imagen 8">
          <a:extLst>
            <a:ext uri="{FF2B5EF4-FFF2-40B4-BE49-F238E27FC236}">
              <a16:creationId xmlns:a16="http://schemas.microsoft.com/office/drawing/2014/main" id="{F48BEAB8-C11E-412A-AB7C-11279077EBC0}"/>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3" name="Imagen 9">
          <a:extLst>
            <a:ext uri="{FF2B5EF4-FFF2-40B4-BE49-F238E27FC236}">
              <a16:creationId xmlns:a16="http://schemas.microsoft.com/office/drawing/2014/main" id="{8A0230A8-55EC-443E-8497-3C58BA3B722E}"/>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4" name="Imagen 10">
          <a:extLst>
            <a:ext uri="{FF2B5EF4-FFF2-40B4-BE49-F238E27FC236}">
              <a16:creationId xmlns:a16="http://schemas.microsoft.com/office/drawing/2014/main" id="{88B701A4-2207-477C-A039-4DFECBF940EB}"/>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5" name="Imagen 11">
          <a:extLst>
            <a:ext uri="{FF2B5EF4-FFF2-40B4-BE49-F238E27FC236}">
              <a16:creationId xmlns:a16="http://schemas.microsoft.com/office/drawing/2014/main" id="{C8DEAB75-17A4-411B-A37B-A7D6936128C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6" name="Imagen 12">
          <a:extLst>
            <a:ext uri="{FF2B5EF4-FFF2-40B4-BE49-F238E27FC236}">
              <a16:creationId xmlns:a16="http://schemas.microsoft.com/office/drawing/2014/main" id="{CC053DA4-571F-4B6D-8F47-48CA214A7BE4}"/>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7" name="Imagen 2">
          <a:extLst>
            <a:ext uri="{FF2B5EF4-FFF2-40B4-BE49-F238E27FC236}">
              <a16:creationId xmlns:a16="http://schemas.microsoft.com/office/drawing/2014/main" id="{5C96F422-16B1-42EA-B2D2-374C7B6D87D1}"/>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8" name="Imagen 3">
          <a:extLst>
            <a:ext uri="{FF2B5EF4-FFF2-40B4-BE49-F238E27FC236}">
              <a16:creationId xmlns:a16="http://schemas.microsoft.com/office/drawing/2014/main" id="{ECACD26A-2CE5-4F4E-B47B-25793D0DBF7E}"/>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9" name="Imagen 4">
          <a:extLst>
            <a:ext uri="{FF2B5EF4-FFF2-40B4-BE49-F238E27FC236}">
              <a16:creationId xmlns:a16="http://schemas.microsoft.com/office/drawing/2014/main" id="{0C950154-F240-4228-BEE4-DF2FD7E4402B}"/>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0" name="Imagen 5">
          <a:extLst>
            <a:ext uri="{FF2B5EF4-FFF2-40B4-BE49-F238E27FC236}">
              <a16:creationId xmlns:a16="http://schemas.microsoft.com/office/drawing/2014/main" id="{9CB578C0-76C9-4CCF-8761-E0D90E954D3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1" name="Imagen 6">
          <a:extLst>
            <a:ext uri="{FF2B5EF4-FFF2-40B4-BE49-F238E27FC236}">
              <a16:creationId xmlns:a16="http://schemas.microsoft.com/office/drawing/2014/main" id="{E33B3D46-45D2-44C5-A39F-C0A4B12D99AC}"/>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2" name="Imagen 7">
          <a:extLst>
            <a:ext uri="{FF2B5EF4-FFF2-40B4-BE49-F238E27FC236}">
              <a16:creationId xmlns:a16="http://schemas.microsoft.com/office/drawing/2014/main" id="{D93F1B7D-27EE-410D-9D66-AB7B1DF43714}"/>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3" name="Imagen 8">
          <a:extLst>
            <a:ext uri="{FF2B5EF4-FFF2-40B4-BE49-F238E27FC236}">
              <a16:creationId xmlns:a16="http://schemas.microsoft.com/office/drawing/2014/main" id="{CE8749C5-A9FA-4C8A-AD55-E160AA45F66A}"/>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4" name="Imagen 9">
          <a:extLst>
            <a:ext uri="{FF2B5EF4-FFF2-40B4-BE49-F238E27FC236}">
              <a16:creationId xmlns:a16="http://schemas.microsoft.com/office/drawing/2014/main" id="{7F10D7A8-CF1E-45CD-8F11-CC19694B2760}"/>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5" name="Imagen 10">
          <a:extLst>
            <a:ext uri="{FF2B5EF4-FFF2-40B4-BE49-F238E27FC236}">
              <a16:creationId xmlns:a16="http://schemas.microsoft.com/office/drawing/2014/main" id="{CAEDE0FB-0AB3-4489-8D82-68309835DCF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6" name="Imagen 11">
          <a:extLst>
            <a:ext uri="{FF2B5EF4-FFF2-40B4-BE49-F238E27FC236}">
              <a16:creationId xmlns:a16="http://schemas.microsoft.com/office/drawing/2014/main" id="{1E7B4AF7-C679-46F6-91CA-B2DD6DAD70F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7" name="Imagen 12">
          <a:extLst>
            <a:ext uri="{FF2B5EF4-FFF2-40B4-BE49-F238E27FC236}">
              <a16:creationId xmlns:a16="http://schemas.microsoft.com/office/drawing/2014/main" id="{759D9516-F858-4D5D-A60C-70BA57F2647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8" name="Imagen 2">
          <a:extLst>
            <a:ext uri="{FF2B5EF4-FFF2-40B4-BE49-F238E27FC236}">
              <a16:creationId xmlns:a16="http://schemas.microsoft.com/office/drawing/2014/main" id="{04FFFCE4-9890-436D-83ED-823C5E63E4F9}"/>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9" name="Imagen 3">
          <a:extLst>
            <a:ext uri="{FF2B5EF4-FFF2-40B4-BE49-F238E27FC236}">
              <a16:creationId xmlns:a16="http://schemas.microsoft.com/office/drawing/2014/main" id="{78B611A6-8D81-49A7-BAB7-3135642EC7CB}"/>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0" name="Imagen 4">
          <a:extLst>
            <a:ext uri="{FF2B5EF4-FFF2-40B4-BE49-F238E27FC236}">
              <a16:creationId xmlns:a16="http://schemas.microsoft.com/office/drawing/2014/main" id="{C0C96B43-68F7-4EC9-98A7-7BCF42286899}"/>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1" name="Imagen 5">
          <a:extLst>
            <a:ext uri="{FF2B5EF4-FFF2-40B4-BE49-F238E27FC236}">
              <a16:creationId xmlns:a16="http://schemas.microsoft.com/office/drawing/2014/main" id="{11B37D11-81E9-4E76-88BD-FEC778CAD68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2" name="Imagen 6">
          <a:extLst>
            <a:ext uri="{FF2B5EF4-FFF2-40B4-BE49-F238E27FC236}">
              <a16:creationId xmlns:a16="http://schemas.microsoft.com/office/drawing/2014/main" id="{2B008A1C-1717-45B1-ADB8-73FDE28C9EB8}"/>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3" name="Imagen 7">
          <a:extLst>
            <a:ext uri="{FF2B5EF4-FFF2-40B4-BE49-F238E27FC236}">
              <a16:creationId xmlns:a16="http://schemas.microsoft.com/office/drawing/2014/main" id="{C482A419-37C4-4E87-ABE9-F86087002901}"/>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4" name="Imagen 8">
          <a:extLst>
            <a:ext uri="{FF2B5EF4-FFF2-40B4-BE49-F238E27FC236}">
              <a16:creationId xmlns:a16="http://schemas.microsoft.com/office/drawing/2014/main" id="{D00E89A5-6EE4-48BD-94D5-EF1DA1EA9F4D}"/>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5" name="Imagen 9">
          <a:extLst>
            <a:ext uri="{FF2B5EF4-FFF2-40B4-BE49-F238E27FC236}">
              <a16:creationId xmlns:a16="http://schemas.microsoft.com/office/drawing/2014/main" id="{831E1C7F-8043-4F45-A579-1FD9071CD287}"/>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6" name="Imagen 10">
          <a:extLst>
            <a:ext uri="{FF2B5EF4-FFF2-40B4-BE49-F238E27FC236}">
              <a16:creationId xmlns:a16="http://schemas.microsoft.com/office/drawing/2014/main" id="{00EFF7A1-8C02-4057-9AF9-DAD4E4D01272}"/>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7" name="Imagen 11">
          <a:extLst>
            <a:ext uri="{FF2B5EF4-FFF2-40B4-BE49-F238E27FC236}">
              <a16:creationId xmlns:a16="http://schemas.microsoft.com/office/drawing/2014/main" id="{31918A16-4357-4E8D-981F-C6F479824346}"/>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8" name="Imagen 12">
          <a:extLst>
            <a:ext uri="{FF2B5EF4-FFF2-40B4-BE49-F238E27FC236}">
              <a16:creationId xmlns:a16="http://schemas.microsoft.com/office/drawing/2014/main" id="{DEF80A77-502F-4863-B4CD-C507362DB0FD}"/>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9" name="Imagen 2">
          <a:extLst>
            <a:ext uri="{FF2B5EF4-FFF2-40B4-BE49-F238E27FC236}">
              <a16:creationId xmlns:a16="http://schemas.microsoft.com/office/drawing/2014/main" id="{7BE024DC-C8DA-4123-A33D-1C776C67C1F7}"/>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0" name="Imagen 3">
          <a:extLst>
            <a:ext uri="{FF2B5EF4-FFF2-40B4-BE49-F238E27FC236}">
              <a16:creationId xmlns:a16="http://schemas.microsoft.com/office/drawing/2014/main" id="{B1E6BE49-B640-44F4-9A1D-FE0156750B57}"/>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1" name="Imagen 4">
          <a:extLst>
            <a:ext uri="{FF2B5EF4-FFF2-40B4-BE49-F238E27FC236}">
              <a16:creationId xmlns:a16="http://schemas.microsoft.com/office/drawing/2014/main" id="{4152B1CA-A403-4A07-914F-4A3AF2A2141F}"/>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2" name="Imagen 5">
          <a:extLst>
            <a:ext uri="{FF2B5EF4-FFF2-40B4-BE49-F238E27FC236}">
              <a16:creationId xmlns:a16="http://schemas.microsoft.com/office/drawing/2014/main" id="{47DBB8F1-70BF-4BC6-A202-B15CAE56D76E}"/>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3" name="Imagen 6">
          <a:extLst>
            <a:ext uri="{FF2B5EF4-FFF2-40B4-BE49-F238E27FC236}">
              <a16:creationId xmlns:a16="http://schemas.microsoft.com/office/drawing/2014/main" id="{E194F722-7802-49D7-9301-CD4D9614C9B7}"/>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4" name="Imagen 7">
          <a:extLst>
            <a:ext uri="{FF2B5EF4-FFF2-40B4-BE49-F238E27FC236}">
              <a16:creationId xmlns:a16="http://schemas.microsoft.com/office/drawing/2014/main" id="{35A8E6BC-2C5E-4962-8D25-1F3E3887F49D}"/>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5" name="Imagen 8">
          <a:extLst>
            <a:ext uri="{FF2B5EF4-FFF2-40B4-BE49-F238E27FC236}">
              <a16:creationId xmlns:a16="http://schemas.microsoft.com/office/drawing/2014/main" id="{B6779513-7C29-402C-A3AD-E5BD0CC60070}"/>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6" name="Imagen 9">
          <a:extLst>
            <a:ext uri="{FF2B5EF4-FFF2-40B4-BE49-F238E27FC236}">
              <a16:creationId xmlns:a16="http://schemas.microsoft.com/office/drawing/2014/main" id="{51015245-7CD2-48D4-955F-536C44DAB4CC}"/>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7" name="Imagen 10">
          <a:extLst>
            <a:ext uri="{FF2B5EF4-FFF2-40B4-BE49-F238E27FC236}">
              <a16:creationId xmlns:a16="http://schemas.microsoft.com/office/drawing/2014/main" id="{A45B3A5F-86D7-44C3-9886-6270F5AB61A7}"/>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8" name="Imagen 11">
          <a:extLst>
            <a:ext uri="{FF2B5EF4-FFF2-40B4-BE49-F238E27FC236}">
              <a16:creationId xmlns:a16="http://schemas.microsoft.com/office/drawing/2014/main" id="{37321450-915F-435D-B444-93A0F3DCA369}"/>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9" name="Imagen 12">
          <a:extLst>
            <a:ext uri="{FF2B5EF4-FFF2-40B4-BE49-F238E27FC236}">
              <a16:creationId xmlns:a16="http://schemas.microsoft.com/office/drawing/2014/main" id="{CC559BD2-DD12-4C9A-8632-EF82986AB9A5}"/>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0" name="Imagen 2">
          <a:extLst>
            <a:ext uri="{FF2B5EF4-FFF2-40B4-BE49-F238E27FC236}">
              <a16:creationId xmlns:a16="http://schemas.microsoft.com/office/drawing/2014/main" id="{4F609116-B903-42EB-980A-9EEDBFA26A64}"/>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1" name="Imagen 3">
          <a:extLst>
            <a:ext uri="{FF2B5EF4-FFF2-40B4-BE49-F238E27FC236}">
              <a16:creationId xmlns:a16="http://schemas.microsoft.com/office/drawing/2014/main" id="{59DD3C44-80D0-4ED9-916A-D863E11C2A5A}"/>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2" name="Imagen 4">
          <a:extLst>
            <a:ext uri="{FF2B5EF4-FFF2-40B4-BE49-F238E27FC236}">
              <a16:creationId xmlns:a16="http://schemas.microsoft.com/office/drawing/2014/main" id="{B189B730-1645-4C74-AB9D-63901B919F37}"/>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3" name="Imagen 5">
          <a:extLst>
            <a:ext uri="{FF2B5EF4-FFF2-40B4-BE49-F238E27FC236}">
              <a16:creationId xmlns:a16="http://schemas.microsoft.com/office/drawing/2014/main" id="{27467248-6C09-4788-92FF-687D48119AD5}"/>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4" name="Imagen 6">
          <a:extLst>
            <a:ext uri="{FF2B5EF4-FFF2-40B4-BE49-F238E27FC236}">
              <a16:creationId xmlns:a16="http://schemas.microsoft.com/office/drawing/2014/main" id="{E98842A4-B37B-4EB1-AE57-BA206862B498}"/>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5" name="Imagen 7">
          <a:extLst>
            <a:ext uri="{FF2B5EF4-FFF2-40B4-BE49-F238E27FC236}">
              <a16:creationId xmlns:a16="http://schemas.microsoft.com/office/drawing/2014/main" id="{95F48DF4-5E0E-44E4-BB8E-6BAEF142A771}"/>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6" name="Imagen 8">
          <a:extLst>
            <a:ext uri="{FF2B5EF4-FFF2-40B4-BE49-F238E27FC236}">
              <a16:creationId xmlns:a16="http://schemas.microsoft.com/office/drawing/2014/main" id="{1A7BC1FB-F5F6-4CCA-BB6D-1723A000F319}"/>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7" name="Imagen 9">
          <a:extLst>
            <a:ext uri="{FF2B5EF4-FFF2-40B4-BE49-F238E27FC236}">
              <a16:creationId xmlns:a16="http://schemas.microsoft.com/office/drawing/2014/main" id="{669E5CDA-AACF-435F-9BE0-D17D1029753D}"/>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8" name="Imagen 10">
          <a:extLst>
            <a:ext uri="{FF2B5EF4-FFF2-40B4-BE49-F238E27FC236}">
              <a16:creationId xmlns:a16="http://schemas.microsoft.com/office/drawing/2014/main" id="{008A402E-4947-449D-81EF-DC7AA14912B5}"/>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9" name="Imagen 11">
          <a:extLst>
            <a:ext uri="{FF2B5EF4-FFF2-40B4-BE49-F238E27FC236}">
              <a16:creationId xmlns:a16="http://schemas.microsoft.com/office/drawing/2014/main" id="{5657CBAC-D6A0-490C-8BDE-9DD247F1D91F}"/>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0" name="Imagen 12">
          <a:extLst>
            <a:ext uri="{FF2B5EF4-FFF2-40B4-BE49-F238E27FC236}">
              <a16:creationId xmlns:a16="http://schemas.microsoft.com/office/drawing/2014/main" id="{5C2A417F-AB8D-48E3-8572-EB16D88633BE}"/>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1" name="Imagen 2">
          <a:extLst>
            <a:ext uri="{FF2B5EF4-FFF2-40B4-BE49-F238E27FC236}">
              <a16:creationId xmlns:a16="http://schemas.microsoft.com/office/drawing/2014/main" id="{68337F82-8587-47AB-9C9B-9B6E8140255F}"/>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2" name="Imagen 3">
          <a:extLst>
            <a:ext uri="{FF2B5EF4-FFF2-40B4-BE49-F238E27FC236}">
              <a16:creationId xmlns:a16="http://schemas.microsoft.com/office/drawing/2014/main" id="{B1209888-26A7-4C4E-AD6B-403EC522DEBD}"/>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3" name="Imagen 4">
          <a:extLst>
            <a:ext uri="{FF2B5EF4-FFF2-40B4-BE49-F238E27FC236}">
              <a16:creationId xmlns:a16="http://schemas.microsoft.com/office/drawing/2014/main" id="{DB767906-F7FA-4B78-8D1C-DB88D101C90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4" name="Imagen 5">
          <a:extLst>
            <a:ext uri="{FF2B5EF4-FFF2-40B4-BE49-F238E27FC236}">
              <a16:creationId xmlns:a16="http://schemas.microsoft.com/office/drawing/2014/main" id="{0A6208A2-A530-49B7-AE6F-CF8E0CEBE356}"/>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5" name="Imagen 6">
          <a:extLst>
            <a:ext uri="{FF2B5EF4-FFF2-40B4-BE49-F238E27FC236}">
              <a16:creationId xmlns:a16="http://schemas.microsoft.com/office/drawing/2014/main" id="{288C2A0C-0402-4C2F-BA4F-1A9E70B06D9F}"/>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6" name="Imagen 7">
          <a:extLst>
            <a:ext uri="{FF2B5EF4-FFF2-40B4-BE49-F238E27FC236}">
              <a16:creationId xmlns:a16="http://schemas.microsoft.com/office/drawing/2014/main" id="{4EDD2BC5-E2F8-4B51-AF7A-F13670CFC0F3}"/>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7" name="Imagen 8">
          <a:extLst>
            <a:ext uri="{FF2B5EF4-FFF2-40B4-BE49-F238E27FC236}">
              <a16:creationId xmlns:a16="http://schemas.microsoft.com/office/drawing/2014/main" id="{CE8D278E-18DA-4072-935E-FBE827D2C8B1}"/>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8" name="Imagen 9">
          <a:extLst>
            <a:ext uri="{FF2B5EF4-FFF2-40B4-BE49-F238E27FC236}">
              <a16:creationId xmlns:a16="http://schemas.microsoft.com/office/drawing/2014/main" id="{3499DABB-CBBE-4D98-BCB2-0B7CFE145D4C}"/>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9" name="Imagen 10">
          <a:extLst>
            <a:ext uri="{FF2B5EF4-FFF2-40B4-BE49-F238E27FC236}">
              <a16:creationId xmlns:a16="http://schemas.microsoft.com/office/drawing/2014/main" id="{52FBFA84-7C3A-49D1-AD41-2D2127FAD5A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0" name="Imagen 11">
          <a:extLst>
            <a:ext uri="{FF2B5EF4-FFF2-40B4-BE49-F238E27FC236}">
              <a16:creationId xmlns:a16="http://schemas.microsoft.com/office/drawing/2014/main" id="{49F9864D-D090-46F1-88DA-22D4832E6C3E}"/>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1" name="Imagen 12">
          <a:extLst>
            <a:ext uri="{FF2B5EF4-FFF2-40B4-BE49-F238E27FC236}">
              <a16:creationId xmlns:a16="http://schemas.microsoft.com/office/drawing/2014/main" id="{E1B1EE1F-FC6F-4E3C-B8CB-6B9FEF984DE4}"/>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2" name="Imagen 2">
          <a:extLst>
            <a:ext uri="{FF2B5EF4-FFF2-40B4-BE49-F238E27FC236}">
              <a16:creationId xmlns:a16="http://schemas.microsoft.com/office/drawing/2014/main" id="{01915245-7595-4B31-90E9-228F2F896DF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3" name="Imagen 3">
          <a:extLst>
            <a:ext uri="{FF2B5EF4-FFF2-40B4-BE49-F238E27FC236}">
              <a16:creationId xmlns:a16="http://schemas.microsoft.com/office/drawing/2014/main" id="{F74EE929-8E8C-4CC8-A563-099AF5BC49F8}"/>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4" name="Imagen 4">
          <a:extLst>
            <a:ext uri="{FF2B5EF4-FFF2-40B4-BE49-F238E27FC236}">
              <a16:creationId xmlns:a16="http://schemas.microsoft.com/office/drawing/2014/main" id="{16794CD2-2EF3-4307-908D-DB15ECCDD0E7}"/>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5" name="Imagen 5">
          <a:extLst>
            <a:ext uri="{FF2B5EF4-FFF2-40B4-BE49-F238E27FC236}">
              <a16:creationId xmlns:a16="http://schemas.microsoft.com/office/drawing/2014/main" id="{570069A3-3794-435E-A775-CC21B3ACA437}"/>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6" name="Imagen 6">
          <a:extLst>
            <a:ext uri="{FF2B5EF4-FFF2-40B4-BE49-F238E27FC236}">
              <a16:creationId xmlns:a16="http://schemas.microsoft.com/office/drawing/2014/main" id="{041BD2F6-27D7-451F-9568-7164739C42D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7" name="Imagen 7">
          <a:extLst>
            <a:ext uri="{FF2B5EF4-FFF2-40B4-BE49-F238E27FC236}">
              <a16:creationId xmlns:a16="http://schemas.microsoft.com/office/drawing/2014/main" id="{94A5B9E8-6016-4129-9654-895889A70AE8}"/>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8" name="Imagen 8">
          <a:extLst>
            <a:ext uri="{FF2B5EF4-FFF2-40B4-BE49-F238E27FC236}">
              <a16:creationId xmlns:a16="http://schemas.microsoft.com/office/drawing/2014/main" id="{D58E90A2-07DD-40BF-82A1-62CCD064A481}"/>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9" name="Imagen 9">
          <a:extLst>
            <a:ext uri="{FF2B5EF4-FFF2-40B4-BE49-F238E27FC236}">
              <a16:creationId xmlns:a16="http://schemas.microsoft.com/office/drawing/2014/main" id="{067561FD-0673-4291-A264-AC8A3FD0E8A5}"/>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0" name="Imagen 10">
          <a:extLst>
            <a:ext uri="{FF2B5EF4-FFF2-40B4-BE49-F238E27FC236}">
              <a16:creationId xmlns:a16="http://schemas.microsoft.com/office/drawing/2014/main" id="{559E181A-C132-45B9-89E5-49640AC5153D}"/>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1" name="Imagen 11">
          <a:extLst>
            <a:ext uri="{FF2B5EF4-FFF2-40B4-BE49-F238E27FC236}">
              <a16:creationId xmlns:a16="http://schemas.microsoft.com/office/drawing/2014/main" id="{AB7A9D72-4C7B-426D-B8B7-DD7BB070B1E3}"/>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2" name="Imagen 12">
          <a:extLst>
            <a:ext uri="{FF2B5EF4-FFF2-40B4-BE49-F238E27FC236}">
              <a16:creationId xmlns:a16="http://schemas.microsoft.com/office/drawing/2014/main" id="{56528543-99B5-47C5-A3E8-C6F264CB9461}"/>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3" name="Imagen 2">
          <a:extLst>
            <a:ext uri="{FF2B5EF4-FFF2-40B4-BE49-F238E27FC236}">
              <a16:creationId xmlns:a16="http://schemas.microsoft.com/office/drawing/2014/main" id="{1F3BCE71-E14E-414B-B4CA-48C54AD43E94}"/>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4" name="Imagen 3">
          <a:extLst>
            <a:ext uri="{FF2B5EF4-FFF2-40B4-BE49-F238E27FC236}">
              <a16:creationId xmlns:a16="http://schemas.microsoft.com/office/drawing/2014/main" id="{8719EAAA-540D-457D-867D-0C5C2CAF06AB}"/>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5" name="Imagen 4">
          <a:extLst>
            <a:ext uri="{FF2B5EF4-FFF2-40B4-BE49-F238E27FC236}">
              <a16:creationId xmlns:a16="http://schemas.microsoft.com/office/drawing/2014/main" id="{8B122A3B-28E6-4879-BBF1-818FADFC4A9F}"/>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6" name="Imagen 5">
          <a:extLst>
            <a:ext uri="{FF2B5EF4-FFF2-40B4-BE49-F238E27FC236}">
              <a16:creationId xmlns:a16="http://schemas.microsoft.com/office/drawing/2014/main" id="{8CC6CF5C-B4E2-4A52-A3E8-E82EF8A77392}"/>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7" name="Imagen 6">
          <a:extLst>
            <a:ext uri="{FF2B5EF4-FFF2-40B4-BE49-F238E27FC236}">
              <a16:creationId xmlns:a16="http://schemas.microsoft.com/office/drawing/2014/main" id="{56D07719-9D19-498F-AD12-3BA60A23874B}"/>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8" name="Imagen 7">
          <a:extLst>
            <a:ext uri="{FF2B5EF4-FFF2-40B4-BE49-F238E27FC236}">
              <a16:creationId xmlns:a16="http://schemas.microsoft.com/office/drawing/2014/main" id="{2C1BB3AC-CEE0-456A-84E5-F8DB0D41ACE4}"/>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9" name="Imagen 8">
          <a:extLst>
            <a:ext uri="{FF2B5EF4-FFF2-40B4-BE49-F238E27FC236}">
              <a16:creationId xmlns:a16="http://schemas.microsoft.com/office/drawing/2014/main" id="{63D2EFCD-96C5-4F39-873E-4C5474D8274C}"/>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0" name="Imagen 9">
          <a:extLst>
            <a:ext uri="{FF2B5EF4-FFF2-40B4-BE49-F238E27FC236}">
              <a16:creationId xmlns:a16="http://schemas.microsoft.com/office/drawing/2014/main" id="{7733C935-8514-45F4-A0B8-E5645215E61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1" name="Imagen 10">
          <a:extLst>
            <a:ext uri="{FF2B5EF4-FFF2-40B4-BE49-F238E27FC236}">
              <a16:creationId xmlns:a16="http://schemas.microsoft.com/office/drawing/2014/main" id="{3B4C9527-770D-453A-B5CD-0E6A47E13E32}"/>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2" name="Imagen 11">
          <a:extLst>
            <a:ext uri="{FF2B5EF4-FFF2-40B4-BE49-F238E27FC236}">
              <a16:creationId xmlns:a16="http://schemas.microsoft.com/office/drawing/2014/main" id="{1191469C-916E-4289-841B-1D08B345F9DD}"/>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3" name="Imagen 12">
          <a:extLst>
            <a:ext uri="{FF2B5EF4-FFF2-40B4-BE49-F238E27FC236}">
              <a16:creationId xmlns:a16="http://schemas.microsoft.com/office/drawing/2014/main" id="{73E831B8-0693-40CF-99F1-2C5027876930}"/>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4" name="Imagen 2">
          <a:extLst>
            <a:ext uri="{FF2B5EF4-FFF2-40B4-BE49-F238E27FC236}">
              <a16:creationId xmlns:a16="http://schemas.microsoft.com/office/drawing/2014/main" id="{39B50BF9-0488-4CE0-94EA-54A9513BA9C0}"/>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5" name="Imagen 3">
          <a:extLst>
            <a:ext uri="{FF2B5EF4-FFF2-40B4-BE49-F238E27FC236}">
              <a16:creationId xmlns:a16="http://schemas.microsoft.com/office/drawing/2014/main" id="{C2330518-C463-447D-A800-E6139CD6A07F}"/>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6" name="Imagen 4">
          <a:extLst>
            <a:ext uri="{FF2B5EF4-FFF2-40B4-BE49-F238E27FC236}">
              <a16:creationId xmlns:a16="http://schemas.microsoft.com/office/drawing/2014/main" id="{86C22CD3-ECA4-4661-AADA-4C54B9C573A7}"/>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7" name="Imagen 5">
          <a:extLst>
            <a:ext uri="{FF2B5EF4-FFF2-40B4-BE49-F238E27FC236}">
              <a16:creationId xmlns:a16="http://schemas.microsoft.com/office/drawing/2014/main" id="{DC707C6E-6B16-4D1C-B593-4DEB92BBAC5E}"/>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8" name="Imagen 6">
          <a:extLst>
            <a:ext uri="{FF2B5EF4-FFF2-40B4-BE49-F238E27FC236}">
              <a16:creationId xmlns:a16="http://schemas.microsoft.com/office/drawing/2014/main" id="{4BBFFD2A-EB9F-4B24-BAF7-E8A43EF2B4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9" name="Imagen 7">
          <a:extLst>
            <a:ext uri="{FF2B5EF4-FFF2-40B4-BE49-F238E27FC236}">
              <a16:creationId xmlns:a16="http://schemas.microsoft.com/office/drawing/2014/main" id="{8F261176-3E3F-4B19-93A1-73F569B65757}"/>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0" name="Imagen 8">
          <a:extLst>
            <a:ext uri="{FF2B5EF4-FFF2-40B4-BE49-F238E27FC236}">
              <a16:creationId xmlns:a16="http://schemas.microsoft.com/office/drawing/2014/main" id="{80E23798-01E5-4882-AF4C-9C1CA584A89A}"/>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1" name="Imagen 9">
          <a:extLst>
            <a:ext uri="{FF2B5EF4-FFF2-40B4-BE49-F238E27FC236}">
              <a16:creationId xmlns:a16="http://schemas.microsoft.com/office/drawing/2014/main" id="{A1CDFCDB-4AF3-4A78-A071-14DB9A831645}"/>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2" name="Imagen 10">
          <a:extLst>
            <a:ext uri="{FF2B5EF4-FFF2-40B4-BE49-F238E27FC236}">
              <a16:creationId xmlns:a16="http://schemas.microsoft.com/office/drawing/2014/main" id="{22F9F375-3863-4961-8072-0349FCDE37C5}"/>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3" name="Imagen 11">
          <a:extLst>
            <a:ext uri="{FF2B5EF4-FFF2-40B4-BE49-F238E27FC236}">
              <a16:creationId xmlns:a16="http://schemas.microsoft.com/office/drawing/2014/main" id="{DC6F3D9D-741D-4AA5-866A-2F213598DC1B}"/>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4" name="Imagen 12">
          <a:extLst>
            <a:ext uri="{FF2B5EF4-FFF2-40B4-BE49-F238E27FC236}">
              <a16:creationId xmlns:a16="http://schemas.microsoft.com/office/drawing/2014/main" id="{57935080-E244-4ED3-A621-DADF98421B6D}"/>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5" name="Imagen 2">
          <a:extLst>
            <a:ext uri="{FF2B5EF4-FFF2-40B4-BE49-F238E27FC236}">
              <a16:creationId xmlns:a16="http://schemas.microsoft.com/office/drawing/2014/main" id="{C905C9E2-FF6B-4576-B53D-34D513A93A99}"/>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6" name="Imagen 3">
          <a:extLst>
            <a:ext uri="{FF2B5EF4-FFF2-40B4-BE49-F238E27FC236}">
              <a16:creationId xmlns:a16="http://schemas.microsoft.com/office/drawing/2014/main" id="{8C16BCB0-3BE7-4651-BF22-1BD5AF062407}"/>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7" name="Imagen 4">
          <a:extLst>
            <a:ext uri="{FF2B5EF4-FFF2-40B4-BE49-F238E27FC236}">
              <a16:creationId xmlns:a16="http://schemas.microsoft.com/office/drawing/2014/main" id="{E2D9E10D-73DA-47DE-ADFE-4A29EF2C4084}"/>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8" name="Imagen 5">
          <a:extLst>
            <a:ext uri="{FF2B5EF4-FFF2-40B4-BE49-F238E27FC236}">
              <a16:creationId xmlns:a16="http://schemas.microsoft.com/office/drawing/2014/main" id="{15AB4B51-C982-4BAA-8750-B0FA074A8F3A}"/>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9" name="Imagen 6">
          <a:extLst>
            <a:ext uri="{FF2B5EF4-FFF2-40B4-BE49-F238E27FC236}">
              <a16:creationId xmlns:a16="http://schemas.microsoft.com/office/drawing/2014/main" id="{7AFA33ED-9C4C-4A9D-BE3F-ADB9848BF250}"/>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0" name="Imagen 7">
          <a:extLst>
            <a:ext uri="{FF2B5EF4-FFF2-40B4-BE49-F238E27FC236}">
              <a16:creationId xmlns:a16="http://schemas.microsoft.com/office/drawing/2014/main" id="{EBF33640-92E1-4B68-8503-F1F67E395FD3}"/>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1" name="Imagen 8">
          <a:extLst>
            <a:ext uri="{FF2B5EF4-FFF2-40B4-BE49-F238E27FC236}">
              <a16:creationId xmlns:a16="http://schemas.microsoft.com/office/drawing/2014/main" id="{1FD2ECDD-8B37-4CEC-97C4-E22C8A9F29D0}"/>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2" name="Imagen 9">
          <a:extLst>
            <a:ext uri="{FF2B5EF4-FFF2-40B4-BE49-F238E27FC236}">
              <a16:creationId xmlns:a16="http://schemas.microsoft.com/office/drawing/2014/main" id="{79600711-B5ED-47E8-9AA3-6181BD41739F}"/>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3" name="Imagen 10">
          <a:extLst>
            <a:ext uri="{FF2B5EF4-FFF2-40B4-BE49-F238E27FC236}">
              <a16:creationId xmlns:a16="http://schemas.microsoft.com/office/drawing/2014/main" id="{0DE941DA-76E7-494B-BC6F-3EFC6ED09ACB}"/>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4" name="Imagen 11">
          <a:extLst>
            <a:ext uri="{FF2B5EF4-FFF2-40B4-BE49-F238E27FC236}">
              <a16:creationId xmlns:a16="http://schemas.microsoft.com/office/drawing/2014/main" id="{A682EF86-BD07-4990-983F-F6494F3D5300}"/>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5" name="Imagen 12">
          <a:extLst>
            <a:ext uri="{FF2B5EF4-FFF2-40B4-BE49-F238E27FC236}">
              <a16:creationId xmlns:a16="http://schemas.microsoft.com/office/drawing/2014/main" id="{E2D863B3-792B-4988-8AC7-DC1A7ACDA141}"/>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51339750" y="1323975"/>
          <a:ext cx="9525" cy="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44106"/>
          <a:ext cx="2457450" cy="24468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1755321</xdr:colOff>
      <xdr:row>5</xdr:row>
      <xdr:rowOff>122464</xdr:rowOff>
    </xdr:from>
    <xdr:to>
      <xdr:col>2</xdr:col>
      <xdr:colOff>2763337</xdr:colOff>
      <xdr:row>6</xdr:row>
      <xdr:rowOff>214993</xdr:rowOff>
    </xdr:to>
    <xdr:pic>
      <xdr:nvPicPr>
        <xdr:cNvPr id="2" name="Imagen 1">
          <a:extLst>
            <a:ext uri="{FF2B5EF4-FFF2-40B4-BE49-F238E27FC236}">
              <a16:creationId xmlns:a16="http://schemas.microsoft.com/office/drawing/2014/main" id="{DE559D03-9AAE-4571-87BD-B340166944D1}"/>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12621" y="1265464"/>
          <a:ext cx="1008016" cy="5497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76201</xdr:colOff>
      <xdr:row>3</xdr:row>
      <xdr:rowOff>143906</xdr:rowOff>
    </xdr:from>
    <xdr:to>
      <xdr:col>1</xdr:col>
      <xdr:colOff>1352551</xdr:colOff>
      <xdr:row>5</xdr:row>
      <xdr:rowOff>152401</xdr:rowOff>
    </xdr:to>
    <xdr:pic>
      <xdr:nvPicPr>
        <xdr:cNvPr id="2" name="Imagen 1">
          <a:extLst>
            <a:ext uri="{FF2B5EF4-FFF2-40B4-BE49-F238E27FC236}">
              <a16:creationId xmlns:a16="http://schemas.microsoft.com/office/drawing/2014/main" id="{059CF7AE-E9AE-41FB-BE70-D0F1A4053919}"/>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15531"/>
          <a:ext cx="2419350" cy="2389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76201</xdr:colOff>
      <xdr:row>3</xdr:row>
      <xdr:rowOff>143906</xdr:rowOff>
    </xdr:from>
    <xdr:to>
      <xdr:col>1</xdr:col>
      <xdr:colOff>1352551</xdr:colOff>
      <xdr:row>5</xdr:row>
      <xdr:rowOff>152401</xdr:rowOff>
    </xdr:to>
    <xdr:pic>
      <xdr:nvPicPr>
        <xdr:cNvPr id="2" name="Imagen 1">
          <a:extLst>
            <a:ext uri="{FF2B5EF4-FFF2-40B4-BE49-F238E27FC236}">
              <a16:creationId xmlns:a16="http://schemas.microsoft.com/office/drawing/2014/main" id="{DB5972F8-C6E5-43D2-81C1-C37D6029278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76201" y="1715531"/>
          <a:ext cx="2419350" cy="2389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iris.pedraza/Downloads/20260820_Estudio_Mercado2026_VF.xlsm" TargetMode="External"/><Relationship Id="rId1" Type="http://schemas.openxmlformats.org/officeDocument/2006/relationships/externalLinkPath" Target="/Users/iris.pedraza/Downloads/20260820_Estudio_Mercado2026_VF.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0.HERRAMIENTAS%20PARA%20LA%20FORMULACION/5.%20FORMATO%20ESTUDIO%20DE%20MERCADO%20Y%20SOLICITUD%20DE%20COTIZACIONES/20260820_Estudio_Mercado2026_VF.xlsm" TargetMode="External"/><Relationship Id="rId2" Type="http://schemas.microsoft.com/office/2019/04/relationships/externalLinkLongPath" Target="/personal/planeacion_suba_gobiernobogota_gov_co/Documents/6.Archivo%20digital%202026/1.FORMULACIONES/0.HERRAMIENTAS%20PARA%20LA%20FORMULACION/5.%20FORMATO%20ESTUDIO%20DE%20MERCADO%20Y%20SOLICITUD%20DE%20COTIZACIONES/20260820_Estudio_Mercado2026_VF.xlsm?D142D0A3" TargetMode="External"/><Relationship Id="rId1" Type="http://schemas.openxmlformats.org/officeDocument/2006/relationships/externalLinkPath" Target="file:///\\D142D0A3\20260820_Estudio_Mercado2026_V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listaBolsa"/>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listaBolsa"/>
      <sheetName val="Estudio_Mercado"/>
      <sheetName val="TablaD_3Provedores"/>
      <sheetName val="Tres_Entidad"/>
      <sheetName val="TablaDinamicaTres_Entidad"/>
      <sheetName val="Lista"/>
      <sheetName val="FORMATO DE OFERTA ECONÓMICA"/>
    </sheetNames>
    <sheetDataSet>
      <sheetData sheetId="0">
        <row r="2">
          <cell r="D2" t="str">
            <v>Elemento</v>
          </cell>
          <cell r="E2" t="str">
            <v>Descripción del elemento y / o actividad</v>
          </cell>
          <cell r="F2" t="str">
            <v>Unidad de medida</v>
          </cell>
          <cell r="G2" t="str">
            <v>Cantidad establecida según anexo técnico</v>
          </cell>
          <cell r="H2" t="str">
            <v>Compra Alquiler
Prestación Servicio</v>
          </cell>
          <cell r="I2" t="str">
            <v>Responsable Cotización 1</v>
          </cell>
          <cell r="J2" t="str">
            <v>Fecha diligenciamiento en la Bolsa cotización 1</v>
          </cell>
          <cell r="K2" t="str">
            <v>Link Cotización 1</v>
          </cell>
          <cell r="L2" t="str">
            <v>Tipo de Gestión Cotización 1</v>
          </cell>
          <cell r="M2" t="str">
            <v>Empresa Cotizante cotización 1</v>
          </cell>
          <cell r="N2" t="str">
            <v>Valor unitario en la cotización / página web</v>
          </cell>
          <cell r="O2" t="str">
            <v>IVA incluido en el precio/ Para adicionar IVA</v>
          </cell>
          <cell r="P2" t="str">
            <v>Aplica IVA</v>
          </cell>
          <cell r="Q2" t="str">
            <v>Valor Unitario sin IVA</v>
          </cell>
          <cell r="R2" t="str">
            <v>Valor IVA</v>
          </cell>
          <cell r="S2" t="str">
            <v>Valor unitario con IVA</v>
          </cell>
          <cell r="T2" t="str">
            <v>Valor total Sin IVA</v>
          </cell>
          <cell r="U2" t="str">
            <v>Valor total con IVA</v>
          </cell>
          <cell r="V2" t="str">
            <v>Responsable Cotización 2</v>
          </cell>
          <cell r="W2" t="str">
            <v>Fecha diligenciamiento en la Bolsa cotización 2</v>
          </cell>
          <cell r="X2" t="str">
            <v>Link Cotización 2</v>
          </cell>
          <cell r="Y2" t="str">
            <v>Tipo de Gestión Cotización 2</v>
          </cell>
          <cell r="Z2" t="str">
            <v>Empresa Cotizante cotización 2</v>
          </cell>
          <cell r="AA2" t="str">
            <v>Valor unitario en la factura</v>
          </cell>
          <cell r="AB2" t="str">
            <v>IVA incluido en el precio/ Para adicionar IVA</v>
          </cell>
          <cell r="AC2" t="str">
            <v>Aplica IVA</v>
          </cell>
          <cell r="AD2" t="str">
            <v>Valor unitario sin IVA</v>
          </cell>
          <cell r="AE2" t="str">
            <v>Valor IVA</v>
          </cell>
          <cell r="AF2" t="str">
            <v>Valor unitario con IVA</v>
          </cell>
          <cell r="AG2" t="str">
            <v>Valor total Sin IVA</v>
          </cell>
          <cell r="AH2" t="str">
            <v>Valor total con IVA</v>
          </cell>
          <cell r="AI2" t="str">
            <v>Responsable Cotización 3</v>
          </cell>
          <cell r="AJ2" t="str">
            <v>Fecha diligenciamiento en la Bolsa cotización 3</v>
          </cell>
          <cell r="AK2" t="str">
            <v>Link Cotización 3</v>
          </cell>
          <cell r="AL2" t="str">
            <v>Tipo de Gestión Cotización 3</v>
          </cell>
          <cell r="AM2" t="str">
            <v>Empresa Cotizante cotización 3</v>
          </cell>
          <cell r="AN2" t="str">
            <v>Valor unitario en la factura</v>
          </cell>
          <cell r="AO2" t="str">
            <v>IVA incluido en el precio/ Para adicionar IVA</v>
          </cell>
          <cell r="AP2" t="str">
            <v>Aplica IVA</v>
          </cell>
          <cell r="AQ2" t="str">
            <v>Valor unitario sin IVA</v>
          </cell>
          <cell r="AR2" t="str">
            <v>Valor IVA</v>
          </cell>
          <cell r="AS2" t="str">
            <v>Valor unitario con IVA</v>
          </cell>
          <cell r="AT2" t="str">
            <v>Valor total Sin IVA</v>
          </cell>
          <cell r="AU2" t="str">
            <v>Valor total con IVA</v>
          </cell>
          <cell r="AV2" t="str">
            <v>Promedio valor unitario con IVA</v>
          </cell>
          <cell r="AW2" t="str">
            <v>Promedio valor total con IVA</v>
          </cell>
          <cell r="AX2" t="str">
            <v xml:space="preserve">Desviación estandar </v>
          </cell>
          <cell r="AY2" t="str">
            <v>Coeficiente de variación</v>
          </cell>
          <cell r="AZ2" t="str">
            <v>Observaciones de las 3 cotizaciones (Estudio de mercado)</v>
          </cell>
          <cell r="BA2" t="str">
            <v>Cuenta de Cotizaciones</v>
          </cell>
          <cell r="BB2" t="str">
            <v>IMPUESTOS IMPORTANTE</v>
          </cell>
        </row>
        <row r="3">
          <cell r="D3" t="str">
            <v>Afiche Medio Pliego  100 unidades</v>
          </cell>
          <cell r="E3" t="str">
            <v>Tamaño Medio Pliego_x000D_
Papeles esmaltados C2S Gloss de 200 gr o Propalcote 200 gr, según las referencias o diseños que requiera la Alcaldía Local de Suba a 4 tintas full color y policromía, incluye logos.</v>
          </cell>
          <cell r="F3" t="str">
            <v>Unidad</v>
          </cell>
          <cell r="G3">
            <v>1</v>
          </cell>
          <cell r="H3" t="str">
            <v>Compra</v>
          </cell>
          <cell r="I3" t="str">
            <v>Luz Jimenez</v>
          </cell>
          <cell r="J3">
            <v>46155</v>
          </cell>
          <cell r="K3" t="str">
            <v>JEGAR PUBLICIDAD MISIONES</v>
          </cell>
          <cell r="L3" t="str">
            <v>Transcripción</v>
          </cell>
          <cell r="M3" t="str">
            <v>JEGAR PUBLICIDAD</v>
          </cell>
          <cell r="N3">
            <v>490000</v>
          </cell>
          <cell r="O3" t="str">
            <v>IVA incluido</v>
          </cell>
          <cell r="P3" t="str">
            <v>Si tiene IVA</v>
          </cell>
          <cell r="Q3">
            <v>411764.70588235301</v>
          </cell>
          <cell r="R3">
            <v>78235.294117647063</v>
          </cell>
          <cell r="S3">
            <v>490000</v>
          </cell>
          <cell r="T3">
            <v>490000</v>
          </cell>
          <cell r="U3">
            <v>490000</v>
          </cell>
          <cell r="V3" t="str">
            <v>Luz Jimenez</v>
          </cell>
          <cell r="W3">
            <v>46155</v>
          </cell>
          <cell r="X3" t="str">
            <v>SGD_ VARIOS 19-02-2026 SAS</v>
          </cell>
          <cell r="Y3" t="str">
            <v>Gestión</v>
          </cell>
          <cell r="Z3" t="str">
            <v>SG DIGITAL</v>
          </cell>
          <cell r="AA3">
            <v>550000</v>
          </cell>
          <cell r="AB3" t="str">
            <v>IVA incluido</v>
          </cell>
          <cell r="AC3" t="str">
            <v>Si tiene IVA</v>
          </cell>
          <cell r="AD3">
            <v>462184.87394957978</v>
          </cell>
          <cell r="AE3">
            <v>87815.126050420164</v>
          </cell>
          <cell r="AF3">
            <v>550000</v>
          </cell>
          <cell r="AG3">
            <v>550000</v>
          </cell>
          <cell r="AH3">
            <v>550000</v>
          </cell>
          <cell r="AI3" t="str">
            <v>Luz Jimenez</v>
          </cell>
          <cell r="AJ3">
            <v>46155</v>
          </cell>
          <cell r="AK3" t="str">
            <v>Dicoes _ varios 12-02-2026.pdf</v>
          </cell>
          <cell r="AL3" t="str">
            <v>Transcripción</v>
          </cell>
          <cell r="AM3" t="str">
            <v>DICOES GRUPÓ PUBLICITARIO SAS</v>
          </cell>
          <cell r="AN3">
            <v>585000</v>
          </cell>
          <cell r="AO3" t="str">
            <v>Precio sin Iva</v>
          </cell>
          <cell r="AP3" t="str">
            <v>Si tiene IVA</v>
          </cell>
          <cell r="AQ3">
            <v>585000</v>
          </cell>
          <cell r="AR3">
            <v>111150</v>
          </cell>
          <cell r="AS3">
            <v>696150</v>
          </cell>
          <cell r="AT3">
            <v>585000</v>
          </cell>
          <cell r="AU3">
            <v>696150</v>
          </cell>
          <cell r="AV3">
            <v>578717</v>
          </cell>
          <cell r="AW3">
            <v>578717</v>
          </cell>
          <cell r="AX3">
            <v>106033</v>
          </cell>
          <cell r="AY3">
            <v>0.18322081431857001</v>
          </cell>
          <cell r="BA3">
            <v>3</v>
          </cell>
        </row>
        <row r="4">
          <cell r="D4" t="str">
            <v>Afiche Medio Pliego Unidad</v>
          </cell>
          <cell r="E4" t="str">
            <v>Tamaño Medio Pliego_x000D_
Papeles esmaltados C2S Gloss de 200 gr o Propalcote 200 gr, según las referencias o diseños que requiera la Alcaldía Local de Suba a 4 tintas full color y policromía, incluye logos.</v>
          </cell>
          <cell r="F4" t="str">
            <v>Unidad</v>
          </cell>
          <cell r="G4">
            <v>1</v>
          </cell>
          <cell r="H4" t="str">
            <v>Compra</v>
          </cell>
          <cell r="I4" t="str">
            <v>Sandra Vargas</v>
          </cell>
          <cell r="J4">
            <v>46147</v>
          </cell>
          <cell r="K4" t="str">
            <v>Dicoes _ varios 12-02-2026</v>
          </cell>
          <cell r="L4" t="str">
            <v>Transcripción</v>
          </cell>
          <cell r="M4" t="str">
            <v>DICOES GRUPÓ PUBLICITARIO SAS</v>
          </cell>
          <cell r="N4">
            <v>35000</v>
          </cell>
          <cell r="O4" t="str">
            <v>Precio sin Iva</v>
          </cell>
          <cell r="P4" t="str">
            <v>Si tiene IVA</v>
          </cell>
          <cell r="Q4">
            <v>35000</v>
          </cell>
          <cell r="R4">
            <v>6650</v>
          </cell>
          <cell r="S4">
            <v>41650</v>
          </cell>
          <cell r="T4">
            <v>35000</v>
          </cell>
          <cell r="U4">
            <v>41650</v>
          </cell>
          <cell r="V4" t="str">
            <v>Sandra vargas</v>
          </cell>
          <cell r="W4">
            <v>46143</v>
          </cell>
          <cell r="X4" t="str">
            <v>A LOT STUDIO SAS_Varios.pdf</v>
          </cell>
          <cell r="Y4" t="str">
            <v>Transcripción</v>
          </cell>
          <cell r="Z4" t="str">
            <v>A LOT STUDIO SAS</v>
          </cell>
          <cell r="AA4">
            <v>36600</v>
          </cell>
          <cell r="AB4" t="str">
            <v>Precio sin Iva</v>
          </cell>
          <cell r="AC4" t="str">
            <v>Si tiene IVA</v>
          </cell>
          <cell r="AD4">
            <v>36600</v>
          </cell>
          <cell r="AE4">
            <v>6954</v>
          </cell>
          <cell r="AF4">
            <v>43554</v>
          </cell>
          <cell r="AG4">
            <v>36600</v>
          </cell>
          <cell r="AH4">
            <v>43554</v>
          </cell>
          <cell r="AI4" t="str">
            <v>Sandra Vargas</v>
          </cell>
          <cell r="AJ4">
            <v>46143</v>
          </cell>
          <cell r="AK4" t="str">
            <v>SGD_ VARIOS 19-02-2026 SAS</v>
          </cell>
          <cell r="AL4" t="str">
            <v>Transcripción</v>
          </cell>
          <cell r="AM4" t="str">
            <v>SG DIGITAL S.A.S</v>
          </cell>
          <cell r="AN4">
            <v>55000</v>
          </cell>
          <cell r="AO4" t="str">
            <v>IVA incluido</v>
          </cell>
          <cell r="AP4" t="str">
            <v>Si tiene IVA</v>
          </cell>
          <cell r="AQ4">
            <v>46218.487394957978</v>
          </cell>
          <cell r="AR4">
            <v>8781.5126050420167</v>
          </cell>
          <cell r="AS4">
            <v>55000</v>
          </cell>
          <cell r="AT4">
            <v>55000</v>
          </cell>
          <cell r="AU4">
            <v>55000</v>
          </cell>
          <cell r="AV4">
            <v>46735</v>
          </cell>
          <cell r="AW4">
            <v>46735</v>
          </cell>
          <cell r="AX4">
            <v>7221</v>
          </cell>
          <cell r="AY4">
            <v>0.15450946827859199</v>
          </cell>
          <cell r="BA4">
            <v>3</v>
          </cell>
        </row>
        <row r="5">
          <cell r="D5" t="str">
            <v>Afiche Pliego  Unidad</v>
          </cell>
          <cell r="E5" t="str">
            <v>Tamaño Pliego
Papeles esmaltados C2S Gloss de 200 gr o Propalcote 200 gr, según las referencias o diseños que requiera la Alcaldía Local de Suba a 4 tintas full color y policromía, incluye logos.</v>
          </cell>
          <cell r="F5" t="str">
            <v>Unidad</v>
          </cell>
          <cell r="G5">
            <v>1</v>
          </cell>
          <cell r="H5" t="str">
            <v>Compra</v>
          </cell>
          <cell r="I5" t="str">
            <v>Luz Jimenez</v>
          </cell>
          <cell r="J5">
            <v>46155</v>
          </cell>
          <cell r="K5" t="str">
            <v>SGD_ VARIOS 19-02-2026 SAS.pdf</v>
          </cell>
          <cell r="L5" t="str">
            <v>Transcripción</v>
          </cell>
          <cell r="M5" t="str">
            <v>SG DIGITAL S.A.S</v>
          </cell>
          <cell r="N5">
            <v>55000</v>
          </cell>
          <cell r="O5" t="str">
            <v>Precio sin Iva</v>
          </cell>
          <cell r="P5" t="str">
            <v>Si tiene IVA</v>
          </cell>
          <cell r="Q5">
            <v>55000</v>
          </cell>
          <cell r="R5">
            <v>6227</v>
          </cell>
          <cell r="S5">
            <v>61227</v>
          </cell>
          <cell r="T5">
            <v>55000</v>
          </cell>
          <cell r="U5">
            <v>61227</v>
          </cell>
          <cell r="V5" t="str">
            <v>Luz Jimenez</v>
          </cell>
          <cell r="W5">
            <v>46155</v>
          </cell>
          <cell r="X5" t="str">
            <v>Dicoes _ varios 12-02-2026</v>
          </cell>
          <cell r="Y5" t="str">
            <v>Transcripción</v>
          </cell>
          <cell r="Z5" t="str">
            <v>DICOES GRUPÓ PUBLICITARIO SAS</v>
          </cell>
          <cell r="AA5">
            <v>35000</v>
          </cell>
          <cell r="AB5" t="str">
            <v>Precio sin Iva</v>
          </cell>
          <cell r="AC5" t="str">
            <v>Si tiene IVA</v>
          </cell>
          <cell r="AD5">
            <v>35000</v>
          </cell>
          <cell r="AE5">
            <v>6650</v>
          </cell>
          <cell r="AF5">
            <v>41650</v>
          </cell>
          <cell r="AG5">
            <v>35000</v>
          </cell>
          <cell r="AH5">
            <v>41650</v>
          </cell>
          <cell r="AI5" t="str">
            <v>Luz Jimenez</v>
          </cell>
          <cell r="AJ5">
            <v>46155</v>
          </cell>
          <cell r="AK5" t="str">
            <v>A LOT STUDIO SAS_Varios.pdf</v>
          </cell>
          <cell r="AL5" t="str">
            <v>Transcripción</v>
          </cell>
          <cell r="AM5" t="str">
            <v>A LOT STUDIO SAS</v>
          </cell>
          <cell r="AN5">
            <v>36600</v>
          </cell>
          <cell r="AO5" t="str">
            <v>Precio sin Iva</v>
          </cell>
          <cell r="AP5" t="str">
            <v>Si tiene IVA</v>
          </cell>
          <cell r="AQ5">
            <v>36600</v>
          </cell>
          <cell r="AR5">
            <v>6954</v>
          </cell>
          <cell r="AS5">
            <v>43554</v>
          </cell>
          <cell r="AT5">
            <v>36600</v>
          </cell>
          <cell r="AU5">
            <v>43554</v>
          </cell>
          <cell r="AV5">
            <v>48810</v>
          </cell>
          <cell r="AW5">
            <v>48810</v>
          </cell>
          <cell r="AX5">
            <v>10795</v>
          </cell>
          <cell r="AY5">
            <v>0.221163695963942</v>
          </cell>
          <cell r="BA5">
            <v>3</v>
          </cell>
        </row>
        <row r="6">
          <cell r="D6" t="str">
            <v>Afiche tabloide  100 unidades</v>
          </cell>
          <cell r="E6" t="str">
            <v>Tamaño Tabloide 27.9 cm ancho X 43.2 cm alto
Papeles esmaltados C2S Gloss de 200 gr o Propalcote 200 gr, según las referencias o diseños que requiera la Alcaldía Local de Suba a 4 tintas full color y policromía, incluye logos.</v>
          </cell>
          <cell r="F6" t="str">
            <v>Unidad</v>
          </cell>
          <cell r="G6">
            <v>1</v>
          </cell>
          <cell r="H6" t="str">
            <v>Compra</v>
          </cell>
          <cell r="I6" t="str">
            <v>Luz Jimenez</v>
          </cell>
          <cell r="J6">
            <v>46155</v>
          </cell>
          <cell r="K6" t="str">
            <v>SGD_ VARIOS 19-02-2026 SAS</v>
          </cell>
          <cell r="L6" t="str">
            <v>Transcripción</v>
          </cell>
          <cell r="M6" t="str">
            <v>SG DIGITAL S.A.S</v>
          </cell>
          <cell r="N6">
            <v>340000</v>
          </cell>
          <cell r="O6" t="str">
            <v>IVA incluido</v>
          </cell>
          <cell r="P6" t="str">
            <v>Si tiene IVA</v>
          </cell>
          <cell r="Q6">
            <v>285714.28571428568</v>
          </cell>
          <cell r="R6">
            <v>54285.71428571429</v>
          </cell>
          <cell r="S6">
            <v>340000</v>
          </cell>
          <cell r="T6">
            <v>340000</v>
          </cell>
          <cell r="U6">
            <v>340000</v>
          </cell>
          <cell r="V6" t="str">
            <v>Luz Jimenez</v>
          </cell>
          <cell r="W6">
            <v>46155</v>
          </cell>
          <cell r="X6" t="str">
            <v>Inventiva_varios 17-02-2026</v>
          </cell>
          <cell r="Y6" t="str">
            <v>Transcripción</v>
          </cell>
          <cell r="Z6" t="str">
            <v>INVENTIVA</v>
          </cell>
          <cell r="AA6">
            <v>210000</v>
          </cell>
          <cell r="AB6" t="str">
            <v>Precio sin Iva</v>
          </cell>
          <cell r="AC6" t="str">
            <v>Si tiene IVA</v>
          </cell>
          <cell r="AD6">
            <v>210000</v>
          </cell>
          <cell r="AE6">
            <v>39900</v>
          </cell>
          <cell r="AF6">
            <v>249900</v>
          </cell>
          <cell r="AG6">
            <v>210000</v>
          </cell>
          <cell r="AH6">
            <v>249900</v>
          </cell>
          <cell r="AI6" t="str">
            <v>Luz Jimenez</v>
          </cell>
          <cell r="AJ6">
            <v>46155</v>
          </cell>
          <cell r="AK6" t="str">
            <v>Nexus_varios 16-02-2026.pdf</v>
          </cell>
          <cell r="AL6" t="str">
            <v>Transcripción</v>
          </cell>
          <cell r="AM6" t="str">
            <v xml:space="preserve">NEXUS </v>
          </cell>
          <cell r="AN6">
            <v>250000</v>
          </cell>
          <cell r="AO6" t="str">
            <v>Precio sin Iva</v>
          </cell>
          <cell r="AP6" t="str">
            <v>Si tiene IVA</v>
          </cell>
          <cell r="AQ6">
            <v>250000</v>
          </cell>
          <cell r="AR6">
            <v>47500</v>
          </cell>
          <cell r="AS6">
            <v>297500</v>
          </cell>
          <cell r="AT6">
            <v>250000</v>
          </cell>
          <cell r="AU6">
            <v>297500</v>
          </cell>
          <cell r="AV6">
            <v>295800</v>
          </cell>
          <cell r="AW6">
            <v>295800</v>
          </cell>
          <cell r="AX6">
            <v>45074</v>
          </cell>
          <cell r="AY6">
            <v>0.15237998647734999</v>
          </cell>
          <cell r="BA6">
            <v>3</v>
          </cell>
        </row>
        <row r="7">
          <cell r="D7" t="str">
            <v>Afiche tabloide  Unidad</v>
          </cell>
          <cell r="E7" t="str">
            <v>Tamaño Tabloide 27.9 cm ancho X 43.2 cm alto
Papeles esmaltados C2S Gloss de 200 gr o Propalcote 200 gr, según las referencias o diseños que requiera la Alcaldía Local de Suba a 4 tintas full color y policromía, incluye logos.</v>
          </cell>
          <cell r="F7" t="str">
            <v>Unidad</v>
          </cell>
          <cell r="G7">
            <v>1</v>
          </cell>
          <cell r="H7" t="str">
            <v>Compra</v>
          </cell>
          <cell r="I7" t="str">
            <v>Luz Jimenez</v>
          </cell>
          <cell r="J7">
            <v>46147</v>
          </cell>
          <cell r="K7" t="str">
            <v>SGD_ VARIOS 19-02-2026 SAS.pdf</v>
          </cell>
          <cell r="L7" t="str">
            <v>Transcripción</v>
          </cell>
          <cell r="M7" t="str">
            <v>SG DIGITAL S.A.S</v>
          </cell>
          <cell r="N7">
            <v>6500</v>
          </cell>
          <cell r="O7" t="str">
            <v>IVA incluido</v>
          </cell>
          <cell r="P7" t="str">
            <v>Si tiene IVA</v>
          </cell>
          <cell r="Q7">
            <v>5462.1848739495799</v>
          </cell>
          <cell r="R7">
            <v>1037.8151260504201</v>
          </cell>
          <cell r="S7">
            <v>6500</v>
          </cell>
          <cell r="T7">
            <v>6500</v>
          </cell>
          <cell r="U7">
            <v>6500</v>
          </cell>
          <cell r="V7" t="str">
            <v>Luz Jimenez</v>
          </cell>
          <cell r="W7">
            <v>46147</v>
          </cell>
          <cell r="X7" t="str">
            <v>ANGIE PACHÓN _VARIOS 19-02-2026.pdf</v>
          </cell>
          <cell r="Y7" t="str">
            <v>Transcripción</v>
          </cell>
          <cell r="Z7" t="str">
            <v>Angie Pachon (personalizado INK)</v>
          </cell>
          <cell r="AA7">
            <v>7000</v>
          </cell>
          <cell r="AB7" t="str">
            <v>Precio sin Iva</v>
          </cell>
          <cell r="AC7" t="str">
            <v>No tiene IVA</v>
          </cell>
          <cell r="AD7">
            <v>7000</v>
          </cell>
          <cell r="AE7">
            <v>0</v>
          </cell>
          <cell r="AF7">
            <v>7000</v>
          </cell>
          <cell r="AG7">
            <v>7000</v>
          </cell>
          <cell r="AH7">
            <v>7000</v>
          </cell>
          <cell r="AI7" t="str">
            <v>Luz Jimenez</v>
          </cell>
          <cell r="AJ7">
            <v>46147</v>
          </cell>
          <cell r="AK7" t="str">
            <v>Dicoes _ varios 12-02-2026</v>
          </cell>
          <cell r="AL7" t="str">
            <v>Transcripción</v>
          </cell>
          <cell r="AM7" t="str">
            <v>DICOES GRUPÓ PUBLICITARIO SAS</v>
          </cell>
          <cell r="AN7">
            <v>7800</v>
          </cell>
          <cell r="AO7" t="str">
            <v>Precio sin Iva</v>
          </cell>
          <cell r="AP7" t="str">
            <v>Si tiene IVA</v>
          </cell>
          <cell r="AQ7">
            <v>7800</v>
          </cell>
          <cell r="AR7">
            <v>1482</v>
          </cell>
          <cell r="AS7">
            <v>9282</v>
          </cell>
          <cell r="AT7">
            <v>7800</v>
          </cell>
          <cell r="AU7">
            <v>9282</v>
          </cell>
          <cell r="AV7">
            <v>7594</v>
          </cell>
          <cell r="AW7">
            <v>7594</v>
          </cell>
          <cell r="AX7">
            <v>1483</v>
          </cell>
          <cell r="AY7">
            <v>0.19528575190940201</v>
          </cell>
          <cell r="AZ7" t="str">
            <v>Se realizara el ajuste en las tres angie pachon no tiene rutse solcita qie el proveedor lo envie</v>
          </cell>
          <cell r="BA7">
            <v>3</v>
          </cell>
          <cell r="BB7" t="str">
            <v>Segundo ítem sin Iva</v>
          </cell>
        </row>
        <row r="8">
          <cell r="D8" t="str">
            <v>Afiche tabloide Tabloide 1.000 unidades</v>
          </cell>
          <cell r="E8" t="str">
            <v>Tamaño Pliego_x000D_
Papeles esmaltados C2S Gloss de 200 gr o Propalcote 200 gr, según las referencias o diseños que requiera la Alcaldía Local de Suba a 4 tintas full color y policromía, incluye logos.</v>
          </cell>
          <cell r="F8" t="str">
            <v>Unidad</v>
          </cell>
          <cell r="G8">
            <v>1</v>
          </cell>
          <cell r="H8" t="str">
            <v>Compra</v>
          </cell>
          <cell r="I8" t="str">
            <v>Luz Jimenez</v>
          </cell>
          <cell r="J8">
            <v>46155</v>
          </cell>
          <cell r="K8" t="str">
            <v>SGD_ VARIOS 19-02-2026 SAS</v>
          </cell>
          <cell r="L8" t="str">
            <v>Transcripción</v>
          </cell>
          <cell r="M8" t="str">
            <v>SG DIGITAL S.A.S</v>
          </cell>
          <cell r="N8">
            <v>910000</v>
          </cell>
          <cell r="O8" t="str">
            <v>Precio sin Iva</v>
          </cell>
          <cell r="P8" t="str">
            <v>Si tiene IVA</v>
          </cell>
          <cell r="Q8">
            <v>910000</v>
          </cell>
          <cell r="R8">
            <v>172900</v>
          </cell>
          <cell r="S8">
            <v>1082900</v>
          </cell>
          <cell r="T8">
            <v>910000</v>
          </cell>
          <cell r="U8">
            <v>1082900</v>
          </cell>
          <cell r="V8" t="str">
            <v>Luz Jimenez</v>
          </cell>
          <cell r="W8">
            <v>46153</v>
          </cell>
          <cell r="X8" t="str">
            <v>Nexus_varios 16-02-2026</v>
          </cell>
          <cell r="Y8" t="str">
            <v>Transcripción</v>
          </cell>
          <cell r="Z8" t="str">
            <v>NEXUS _VARIOS</v>
          </cell>
          <cell r="AA8">
            <v>740000</v>
          </cell>
          <cell r="AB8" t="str">
            <v>Precio sin Iva</v>
          </cell>
          <cell r="AC8" t="str">
            <v>Si tiene IVA</v>
          </cell>
          <cell r="AD8">
            <v>740000</v>
          </cell>
          <cell r="AE8">
            <v>140600</v>
          </cell>
          <cell r="AF8">
            <v>880600</v>
          </cell>
          <cell r="AG8">
            <v>740000</v>
          </cell>
          <cell r="AH8">
            <v>880600</v>
          </cell>
          <cell r="AI8" t="str">
            <v>Luz Jimenez</v>
          </cell>
          <cell r="AJ8">
            <v>46155</v>
          </cell>
          <cell r="AK8" t="str">
            <v>Inventiva_varios 17-02-2026</v>
          </cell>
          <cell r="AL8" t="str">
            <v>Transcripción</v>
          </cell>
          <cell r="AM8" t="str">
            <v>INVENTIVA</v>
          </cell>
          <cell r="AN8">
            <v>1000000</v>
          </cell>
          <cell r="AO8" t="str">
            <v>Precio sin Iva</v>
          </cell>
          <cell r="AP8" t="str">
            <v>Si tiene IVA</v>
          </cell>
          <cell r="AQ8">
            <v>1000000</v>
          </cell>
          <cell r="AR8">
            <v>190000</v>
          </cell>
          <cell r="AS8">
            <v>1190000</v>
          </cell>
          <cell r="AT8">
            <v>1000000</v>
          </cell>
          <cell r="AU8">
            <v>1190000</v>
          </cell>
          <cell r="AV8">
            <v>1051167</v>
          </cell>
          <cell r="AW8">
            <v>1051167</v>
          </cell>
          <cell r="AX8">
            <v>157122</v>
          </cell>
          <cell r="AY8">
            <v>0.149473870469678</v>
          </cell>
          <cell r="BA8">
            <v>3</v>
          </cell>
        </row>
        <row r="9">
          <cell r="D9" t="str">
            <v>AfichePliego 1.000 unidades</v>
          </cell>
          <cell r="E9" t="str">
            <v>Tamaño Pliego
Papeles esmaltados C2S Gloss de 200 gr o Propalcote 200 gr, según las referencias o diseños que requiera la Alcaldía Local de Suba a 4 tintas full color y policromía, incluye logos.</v>
          </cell>
          <cell r="F9" t="str">
            <v>Unidad</v>
          </cell>
          <cell r="G9">
            <v>1</v>
          </cell>
          <cell r="H9" t="str">
            <v>Compra</v>
          </cell>
          <cell r="I9" t="str">
            <v>Sandra Vargas</v>
          </cell>
          <cell r="J9">
            <v>46147</v>
          </cell>
          <cell r="K9" t="str">
            <v>Publikraft 05-05-2026 varios.pdf</v>
          </cell>
          <cell r="L9" t="str">
            <v>Transcripción</v>
          </cell>
          <cell r="M9" t="str">
            <v>PUBLI KRAFF</v>
          </cell>
          <cell r="N9">
            <v>1575</v>
          </cell>
          <cell r="O9" t="str">
            <v>Precio sin Iva</v>
          </cell>
          <cell r="P9" t="str">
            <v>Si tiene IVA</v>
          </cell>
          <cell r="Q9">
            <v>1575</v>
          </cell>
          <cell r="R9">
            <v>299.25</v>
          </cell>
          <cell r="S9">
            <v>1874.25</v>
          </cell>
          <cell r="T9">
            <v>1575</v>
          </cell>
          <cell r="U9">
            <v>1874.25</v>
          </cell>
          <cell r="V9" t="str">
            <v>Sandra vargas</v>
          </cell>
          <cell r="W9">
            <v>46147</v>
          </cell>
          <cell r="X9" t="str">
            <v>JEGAR PUBLICIDAD MISIONES</v>
          </cell>
          <cell r="Y9" t="str">
            <v>Transcripción</v>
          </cell>
          <cell r="Z9" t="str">
            <v>JEGAR PUBLICIDAD MISIONES</v>
          </cell>
          <cell r="AA9">
            <v>1250</v>
          </cell>
          <cell r="AB9" t="str">
            <v>Precio sin Iva</v>
          </cell>
          <cell r="AC9" t="str">
            <v>Si tiene IVA</v>
          </cell>
          <cell r="AD9">
            <v>1250</v>
          </cell>
          <cell r="AE9">
            <v>237.5</v>
          </cell>
          <cell r="AF9">
            <v>1487.5</v>
          </cell>
          <cell r="AG9">
            <v>1250</v>
          </cell>
          <cell r="AH9">
            <v>1487.5</v>
          </cell>
          <cell r="AI9" t="str">
            <v>Sandra Vargas</v>
          </cell>
          <cell r="AJ9">
            <v>46147</v>
          </cell>
          <cell r="AK9" t="str">
            <v>JOES 05-05-2026 VARIOS</v>
          </cell>
          <cell r="AL9" t="str">
            <v>Transcripción</v>
          </cell>
          <cell r="AM9" t="str">
            <v>JOES PUBLICIDAD</v>
          </cell>
          <cell r="AN9">
            <v>1500</v>
          </cell>
          <cell r="AO9" t="str">
            <v>Precio sin Iva</v>
          </cell>
          <cell r="AP9" t="str">
            <v>No tiene IVA</v>
          </cell>
          <cell r="AQ9">
            <v>1500</v>
          </cell>
          <cell r="AR9">
            <v>0</v>
          </cell>
          <cell r="AS9">
            <v>1500</v>
          </cell>
          <cell r="AT9">
            <v>1500</v>
          </cell>
          <cell r="AU9">
            <v>1500</v>
          </cell>
          <cell r="AV9">
            <v>1621</v>
          </cell>
          <cell r="AW9">
            <v>1621</v>
          </cell>
          <cell r="AX9">
            <v>220</v>
          </cell>
          <cell r="AY9">
            <v>0.13571869216533</v>
          </cell>
          <cell r="BA9">
            <v>3</v>
          </cell>
          <cell r="BB9" t="str">
            <v>Tercer ítem sin IVA</v>
          </cell>
        </row>
        <row r="10">
          <cell r="D10" t="str">
            <v>Agendas con esfero</v>
          </cell>
          <cell r="E10" t="str">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ell>
          <cell r="F10" t="str">
            <v>Unidad</v>
          </cell>
          <cell r="G10">
            <v>1</v>
          </cell>
          <cell r="H10" t="str">
            <v>Compra</v>
          </cell>
          <cell r="I10" t="str">
            <v>Carol López</v>
          </cell>
          <cell r="J10">
            <v>46072</v>
          </cell>
          <cell r="K10" t="str">
            <v>Inventiva_varios 17-02-2026.pdf</v>
          </cell>
          <cell r="L10" t="str">
            <v>Gestión</v>
          </cell>
          <cell r="M10" t="str">
            <v>INVENTIVA</v>
          </cell>
          <cell r="N10">
            <v>26000</v>
          </cell>
          <cell r="O10" t="str">
            <v>Precio sin Iva</v>
          </cell>
          <cell r="P10" t="str">
            <v>Si tiene IVA</v>
          </cell>
          <cell r="Q10">
            <v>26000</v>
          </cell>
          <cell r="R10">
            <v>4940</v>
          </cell>
          <cell r="S10">
            <v>30940</v>
          </cell>
          <cell r="T10">
            <v>26000</v>
          </cell>
          <cell r="U10">
            <v>30940</v>
          </cell>
          <cell r="V10" t="str">
            <v>Carol López</v>
          </cell>
          <cell r="W10">
            <v>46071</v>
          </cell>
          <cell r="X10" t="str">
            <v>ANGIE PACHÓN _VARIOS 19-02-2026.pdf</v>
          </cell>
          <cell r="Y10" t="str">
            <v>Gestión</v>
          </cell>
          <cell r="Z10" t="str">
            <v>Angie Pachon (personalizado INK)</v>
          </cell>
          <cell r="AA10">
            <v>35000</v>
          </cell>
          <cell r="AB10" t="str">
            <v>Precio sin Iva</v>
          </cell>
          <cell r="AC10" t="str">
            <v>No tiene IVA</v>
          </cell>
          <cell r="AD10">
            <v>35000</v>
          </cell>
          <cell r="AE10">
            <v>0</v>
          </cell>
          <cell r="AF10">
            <v>35000</v>
          </cell>
          <cell r="AG10">
            <v>35000</v>
          </cell>
          <cell r="AH10">
            <v>35000</v>
          </cell>
          <cell r="AI10" t="str">
            <v>Carol López</v>
          </cell>
          <cell r="AJ10">
            <v>46072</v>
          </cell>
          <cell r="AK10" t="str">
            <v>Maria Conflicto -Vario 19-02-2026.pdf</v>
          </cell>
          <cell r="AL10" t="str">
            <v>Gestión</v>
          </cell>
          <cell r="AM10" t="str">
            <v>MARIA CONFLICTO</v>
          </cell>
          <cell r="AN10">
            <v>29000</v>
          </cell>
          <cell r="AO10" t="str">
            <v>Precio sin Iva</v>
          </cell>
          <cell r="AP10" t="str">
            <v>No tiene IVA</v>
          </cell>
          <cell r="AQ10">
            <v>29000</v>
          </cell>
          <cell r="AR10">
            <v>0</v>
          </cell>
          <cell r="AS10">
            <v>29000</v>
          </cell>
          <cell r="AT10">
            <v>29000</v>
          </cell>
          <cell r="AU10">
            <v>29000</v>
          </cell>
          <cell r="AV10">
            <v>31647</v>
          </cell>
          <cell r="AW10">
            <v>31647</v>
          </cell>
          <cell r="AX10">
            <v>3062</v>
          </cell>
          <cell r="AY10">
            <v>9.6754826681833994E-2</v>
          </cell>
          <cell r="BA10">
            <v>3</v>
          </cell>
          <cell r="BB10" t="str">
            <v>Segundo ítem sin Iva// Tercer ítem sin IVA</v>
          </cell>
        </row>
        <row r="11">
          <cell r="D11" t="str">
            <v>Agendas con esfero con logos institucionales</v>
          </cell>
          <cell r="E11" t="str">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ell>
          <cell r="F11" t="str">
            <v>Unidad</v>
          </cell>
          <cell r="G11">
            <v>1</v>
          </cell>
          <cell r="H11" t="str">
            <v>Compra</v>
          </cell>
          <cell r="I11" t="str">
            <v>Carol López</v>
          </cell>
          <cell r="J11">
            <v>46070</v>
          </cell>
          <cell r="K11" t="str">
            <v>Dicoes _ varios 12-02-2026</v>
          </cell>
          <cell r="L11" t="str">
            <v>Gestión</v>
          </cell>
          <cell r="M11" t="str">
            <v>DICOES GRUPÓ PUBLICITARIO SAS</v>
          </cell>
          <cell r="N11">
            <v>28000</v>
          </cell>
          <cell r="O11" t="str">
            <v>Precio sin Iva</v>
          </cell>
          <cell r="P11" t="str">
            <v>Si tiene IVA</v>
          </cell>
          <cell r="Q11">
            <v>28000</v>
          </cell>
          <cell r="R11">
            <v>5320</v>
          </cell>
          <cell r="S11">
            <v>33320</v>
          </cell>
          <cell r="T11">
            <v>28000</v>
          </cell>
          <cell r="U11">
            <v>33320</v>
          </cell>
          <cell r="V11" t="str">
            <v>Carol López</v>
          </cell>
          <cell r="W11">
            <v>46071</v>
          </cell>
          <cell r="X11" t="str">
            <v>SGD_ VARIOS 19-02-2026 SAS</v>
          </cell>
          <cell r="Y11" t="str">
            <v>Gestión</v>
          </cell>
          <cell r="Z11" t="str">
            <v>SG DIGITAL S.A.S</v>
          </cell>
          <cell r="AA11">
            <v>31600</v>
          </cell>
          <cell r="AB11" t="str">
            <v>IVA incluido</v>
          </cell>
          <cell r="AC11" t="str">
            <v>Si tiene IVA</v>
          </cell>
          <cell r="AD11">
            <v>26554.621848739502</v>
          </cell>
          <cell r="AE11">
            <v>5045.3781512605046</v>
          </cell>
          <cell r="AF11">
            <v>31600</v>
          </cell>
          <cell r="AG11">
            <v>31600</v>
          </cell>
          <cell r="AH11">
            <v>31600</v>
          </cell>
          <cell r="AI11" t="str">
            <v>Carol López</v>
          </cell>
          <cell r="AJ11">
            <v>46071</v>
          </cell>
          <cell r="AK11" t="str">
            <v>ANGIE PACHÓN _VARIOS 19-02-2026.pdf</v>
          </cell>
          <cell r="AL11" t="str">
            <v>Gestión</v>
          </cell>
          <cell r="AM11" t="str">
            <v>Angie Pachon (personalizado INK)</v>
          </cell>
          <cell r="AN11">
            <v>30000</v>
          </cell>
          <cell r="AO11" t="str">
            <v>Precio sin Iva</v>
          </cell>
          <cell r="AP11" t="str">
            <v>No tiene IVA</v>
          </cell>
          <cell r="AQ11">
            <v>30000</v>
          </cell>
          <cell r="AR11">
            <v>0</v>
          </cell>
          <cell r="AS11">
            <v>30000</v>
          </cell>
          <cell r="AT11">
            <v>30000</v>
          </cell>
          <cell r="AU11">
            <v>30000</v>
          </cell>
          <cell r="AV11">
            <v>31640</v>
          </cell>
          <cell r="AW11">
            <v>31640</v>
          </cell>
          <cell r="AX11">
            <v>1660</v>
          </cell>
          <cell r="AY11">
            <v>5.2465233881163101E-2</v>
          </cell>
          <cell r="BA11">
            <v>3</v>
          </cell>
          <cell r="BB11" t="str">
            <v>Tercer ítem sin IVA</v>
          </cell>
        </row>
        <row r="12">
          <cell r="D12" t="str">
            <v>Agua en botella x 24 unidades 300 ml</v>
          </cell>
          <cell r="E12" t="str">
            <v>Bandeja X 24 unidades de agua en botella por 300 ML.</v>
          </cell>
          <cell r="F12" t="str">
            <v>Paquete x 24</v>
          </cell>
          <cell r="G12">
            <v>1</v>
          </cell>
          <cell r="H12" t="str">
            <v>Compra</v>
          </cell>
          <cell r="I12" t="str">
            <v>Luz Jimenez</v>
          </cell>
          <cell r="J12">
            <v>46086</v>
          </cell>
          <cell r="K12" t="str">
            <v>Exito_Agua CRISTAL sin gas botella x24und 300ml</v>
          </cell>
          <cell r="L12" t="str">
            <v>Gestión</v>
          </cell>
          <cell r="M12" t="str">
            <v>Exito</v>
          </cell>
          <cell r="N12">
            <v>15800</v>
          </cell>
          <cell r="O12" t="str">
            <v>IVA incluido</v>
          </cell>
          <cell r="P12" t="str">
            <v>Si tiene IVA</v>
          </cell>
          <cell r="Q12">
            <v>13277.310924369751</v>
          </cell>
          <cell r="R12">
            <v>2522.6890756302519</v>
          </cell>
          <cell r="S12">
            <v>15800</v>
          </cell>
          <cell r="T12">
            <v>15800</v>
          </cell>
          <cell r="U12">
            <v>15800</v>
          </cell>
          <cell r="V12" t="str">
            <v>Luz Jimenez</v>
          </cell>
          <cell r="W12">
            <v>46086</v>
          </cell>
          <cell r="X12" t="str">
            <v>Olimpica_ Agua Cristal 300 ML X24 Unds.pdf</v>
          </cell>
          <cell r="Y12" t="str">
            <v>Gestión</v>
          </cell>
          <cell r="Z12" t="str">
            <v>Olimpica</v>
          </cell>
          <cell r="AA12">
            <v>19480</v>
          </cell>
          <cell r="AB12" t="str">
            <v>IVA incluido</v>
          </cell>
          <cell r="AC12" t="str">
            <v>Si tiene IVA</v>
          </cell>
          <cell r="AD12">
            <v>16369.747899159671</v>
          </cell>
          <cell r="AE12">
            <v>3110.252100840336</v>
          </cell>
          <cell r="AF12">
            <v>19480</v>
          </cell>
          <cell r="AG12">
            <v>19480</v>
          </cell>
          <cell r="AH12">
            <v>19480</v>
          </cell>
          <cell r="AI12" t="str">
            <v>Luz Jimenez</v>
          </cell>
          <cell r="AJ12">
            <v>46086</v>
          </cell>
          <cell r="AK12" t="str">
            <v>Tiendas Jumbo_Agua Cristal 24 Unidades X 300ml</v>
          </cell>
          <cell r="AL12" t="str">
            <v>Gestión</v>
          </cell>
          <cell r="AM12" t="str">
            <v>Tiendas Jumbo</v>
          </cell>
          <cell r="AN12">
            <v>17400</v>
          </cell>
          <cell r="AO12" t="str">
            <v>IVA incluido</v>
          </cell>
          <cell r="AP12" t="str">
            <v>Si tiene IVA</v>
          </cell>
          <cell r="AQ12">
            <v>14621.848739495799</v>
          </cell>
          <cell r="AR12">
            <v>2778.1512605042021</v>
          </cell>
          <cell r="AS12">
            <v>17400</v>
          </cell>
          <cell r="AT12">
            <v>17400</v>
          </cell>
          <cell r="AU12">
            <v>17400</v>
          </cell>
          <cell r="AV12">
            <v>17560</v>
          </cell>
          <cell r="AW12">
            <v>17560</v>
          </cell>
          <cell r="AX12">
            <v>1845</v>
          </cell>
          <cell r="AY12">
            <v>0.105068337129841</v>
          </cell>
          <cell r="AZ12" t="str">
            <v>Se corrige el link 04012026/coti 1</v>
          </cell>
          <cell r="BA12">
            <v>3</v>
          </cell>
        </row>
        <row r="13">
          <cell r="D13" t="str">
            <v>Agua en botella x 24 unidades 500 ml</v>
          </cell>
          <cell r="E13" t="str">
            <v>Suministro Botellas plástica con Agua.
500 ML</v>
          </cell>
          <cell r="F13" t="str">
            <v>SERVICIO</v>
          </cell>
          <cell r="G13">
            <v>1</v>
          </cell>
          <cell r="Q13" t="str">
            <v> </v>
          </cell>
          <cell r="R13" t="str">
            <v> </v>
          </cell>
          <cell r="S13" t="str">
            <v> </v>
          </cell>
          <cell r="T13" t="str">
            <v> </v>
          </cell>
          <cell r="U13" t="str">
            <v> </v>
          </cell>
          <cell r="V13" t="str">
            <v>OPERADOR LOGÍSTICO</v>
          </cell>
          <cell r="W13" t="str">
            <v>OPERADOR LOGÍSTICO</v>
          </cell>
          <cell r="X13" t="str">
            <v>OPERADOR LOGÍSTICO</v>
          </cell>
          <cell r="Y13" t="str">
            <v>OPERADOR LOGÍSTICO</v>
          </cell>
          <cell r="Z13" t="str">
            <v>Estimación de precios con base en el proceso FDLSUBA-LP-013-2025 (140689) – Contrato 1000 – 2025, indexando el incremento de precios en el mercado con base en el Índice de Precios al Consumidor (IPC) para el mes de marzo de 2026, el cual fue de 5,56%.</v>
          </cell>
          <cell r="AA13" t="str">
            <v>OPERADOR LOGÍSTICO</v>
          </cell>
          <cell r="AB13" t="str">
            <v>OPERADOR LOGÍSTICO</v>
          </cell>
          <cell r="AC13" t="str">
            <v>OPERADOR LOGÍSTICO</v>
          </cell>
          <cell r="AD13" t="str">
            <v>OPERADOR LOGÍSTICO</v>
          </cell>
          <cell r="AE13" t="str">
            <v>OPERADOR LOGÍSTICO</v>
          </cell>
          <cell r="AF13">
            <v>1809.2436974789921</v>
          </cell>
          <cell r="AG13">
            <v>343.75630252100842</v>
          </cell>
          <cell r="AH13">
            <v>2153</v>
          </cell>
          <cell r="AI13" t="str">
            <v>OPERADOR LOGÍSTICO</v>
          </cell>
          <cell r="AJ13" t="str">
            <v>OPERADOR LOGÍSTICO</v>
          </cell>
          <cell r="AK13" t="str">
            <v>OPERADOR LOGÍSTICO</v>
          </cell>
          <cell r="AL13" t="str">
            <v>OPERADOR LOGÍSTICO</v>
          </cell>
          <cell r="AM13" t="str">
            <v>FUNCAS</v>
          </cell>
          <cell r="AN13" t="str">
            <v>OPERADOR LOGÍSTICO</v>
          </cell>
          <cell r="AO13" t="str">
            <v>OPERADOR LOGÍSTICO</v>
          </cell>
          <cell r="AP13" t="str">
            <v>OPERADOR LOGÍSTICO</v>
          </cell>
          <cell r="AQ13">
            <v>1783</v>
          </cell>
          <cell r="AR13">
            <v>339</v>
          </cell>
          <cell r="AS13">
            <v>2122</v>
          </cell>
          <cell r="AT13">
            <v>1783</v>
          </cell>
          <cell r="AU13">
            <v>2122</v>
          </cell>
          <cell r="AV13">
            <v>1966</v>
          </cell>
          <cell r="AW13">
            <v>1966</v>
          </cell>
          <cell r="AX13" t="str">
            <v/>
          </cell>
          <cell r="AY13">
            <v>1.0500000000000001E-2</v>
          </cell>
        </row>
        <row r="14">
          <cell r="D14" t="str">
            <v>Almohadilla para sellos 12 x 8 cm</v>
          </cell>
          <cell r="E14" t="str">
            <v>Almohadilla para sellos 12 x 8 cm. Material esponja absorbente en estuche plástico con tapa.</v>
          </cell>
          <cell r="F14" t="str">
            <v>Unidad</v>
          </cell>
          <cell r="G14">
            <v>1</v>
          </cell>
          <cell r="H14" t="str">
            <v>Compra</v>
          </cell>
          <cell r="I14" t="str">
            <v>Sandra Vargas</v>
          </cell>
          <cell r="J14">
            <v>46070</v>
          </cell>
          <cell r="K14" t="str">
            <v>Kaizen Colombia_ Almohadilla Para Sellos Sistec 12X8.5cm (365)</v>
          </cell>
          <cell r="L14" t="str">
            <v>Gestión</v>
          </cell>
          <cell r="M14" t="str">
            <v>Kaizen Colombia</v>
          </cell>
          <cell r="N14">
            <v>3300.27</v>
          </cell>
          <cell r="O14" t="str">
            <v>IVA incluido</v>
          </cell>
          <cell r="P14" t="str">
            <v>Si tiene IVA</v>
          </cell>
          <cell r="Q14">
            <v>2773.3361344537821</v>
          </cell>
          <cell r="R14">
            <v>526.93386554621839</v>
          </cell>
          <cell r="S14">
            <v>3300.27</v>
          </cell>
          <cell r="T14">
            <v>3300.27</v>
          </cell>
          <cell r="U14">
            <v>3300.27</v>
          </cell>
          <cell r="V14" t="str">
            <v>Sandra Vargas</v>
          </cell>
          <cell r="W14">
            <v>46070</v>
          </cell>
          <cell r="X14" t="str">
            <v>Comercializadora tj_Varios</v>
          </cell>
          <cell r="Y14" t="str">
            <v>Gestión</v>
          </cell>
          <cell r="Z14" t="str">
            <v>Comercializadora Tj</v>
          </cell>
          <cell r="AA14">
            <v>2600</v>
          </cell>
          <cell r="AB14" t="str">
            <v>Precio sin Iva</v>
          </cell>
          <cell r="AC14" t="str">
            <v>Si tiene IVA</v>
          </cell>
          <cell r="AD14">
            <v>2600</v>
          </cell>
          <cell r="AE14">
            <v>494</v>
          </cell>
          <cell r="AF14">
            <v>3094</v>
          </cell>
          <cell r="AG14">
            <v>2600</v>
          </cell>
          <cell r="AH14">
            <v>3094</v>
          </cell>
          <cell r="AI14" t="str">
            <v>Sandra Vargas</v>
          </cell>
          <cell r="AJ14">
            <v>46070</v>
          </cell>
          <cell r="AK14" t="str">
            <v>Papeleria estacion de suba_Varios</v>
          </cell>
          <cell r="AL14" t="str">
            <v>Gestión</v>
          </cell>
          <cell r="AM14" t="str">
            <v>Papeleria Estacion de Suba</v>
          </cell>
          <cell r="AN14">
            <v>3500</v>
          </cell>
          <cell r="AO14" t="str">
            <v>IVA incluido</v>
          </cell>
          <cell r="AP14" t="str">
            <v>Si tiene IVA</v>
          </cell>
          <cell r="AQ14">
            <v>2941.176470588236</v>
          </cell>
          <cell r="AR14">
            <v>558.82352941176475</v>
          </cell>
          <cell r="AS14">
            <v>3500</v>
          </cell>
          <cell r="AT14">
            <v>3500</v>
          </cell>
          <cell r="AU14">
            <v>3500</v>
          </cell>
          <cell r="AV14">
            <v>3298</v>
          </cell>
          <cell r="AW14">
            <v>3298</v>
          </cell>
          <cell r="AX14">
            <v>203</v>
          </cell>
          <cell r="AY14">
            <v>6.155245603396E-2</v>
          </cell>
          <cell r="BA14">
            <v>3</v>
          </cell>
        </row>
        <row r="15">
          <cell r="D15" t="str">
            <v>Almuerzo Tipo 1</v>
          </cell>
          <cell r="E15" t="str">
            <v>Entrada, sopa o porción de fruta, 2 carnes (130 gr. c/u) + 1 carbohidrato 100 gramos + 1 ensalada 100 gramos + 1 acompañamiento 50 gramos postre 50 gramos + bebida 250 ml.Servicio de samovares y servido en cerámica</v>
          </cell>
          <cell r="F15" t="str">
            <v>Servicio</v>
          </cell>
          <cell r="G15">
            <v>1</v>
          </cell>
          <cell r="H15" t="str">
            <v>Compra</v>
          </cell>
          <cell r="I15" t="str">
            <v>Luz Jimenez</v>
          </cell>
          <cell r="J15">
            <v>46134</v>
          </cell>
          <cell r="K15" t="str">
            <v>Inversiones Becorati_Varios _09-02-2026</v>
          </cell>
          <cell r="L15" t="str">
            <v>Gestión</v>
          </cell>
          <cell r="M15" t="str">
            <v>INVERSIONES BECORATI E Y O SAS</v>
          </cell>
          <cell r="N15">
            <v>37000</v>
          </cell>
          <cell r="O15" t="str">
            <v>Precio sin Ipoconsumo</v>
          </cell>
          <cell r="P15" t="str">
            <v>Si tiene IPOCONSUMO</v>
          </cell>
          <cell r="Q15">
            <v>37000</v>
          </cell>
          <cell r="R15">
            <v>2960</v>
          </cell>
          <cell r="S15">
            <v>39960</v>
          </cell>
          <cell r="T15">
            <v>37000</v>
          </cell>
          <cell r="U15">
            <v>39960</v>
          </cell>
          <cell r="V15" t="str">
            <v>Luz Jimenez</v>
          </cell>
          <cell r="W15">
            <v>46134</v>
          </cell>
          <cell r="X15" t="str">
            <v>Catering Depot.pdf</v>
          </cell>
          <cell r="Y15" t="str">
            <v>Gestión</v>
          </cell>
          <cell r="Z15" t="str">
            <v>Catering Depot</v>
          </cell>
          <cell r="AA15">
            <v>45000</v>
          </cell>
          <cell r="AB15" t="str">
            <v>Precio sin Ipoconsumo</v>
          </cell>
          <cell r="AC15" t="str">
            <v>Si tiene IPOCONSUMO</v>
          </cell>
          <cell r="AD15">
            <v>45000</v>
          </cell>
          <cell r="AE15">
            <v>3600</v>
          </cell>
          <cell r="AF15">
            <v>48600</v>
          </cell>
          <cell r="AG15">
            <v>45000</v>
          </cell>
          <cell r="AH15">
            <v>48600</v>
          </cell>
          <cell r="AI15" t="str">
            <v>Luz Jimenez</v>
          </cell>
          <cell r="AJ15">
            <v>46134</v>
          </cell>
          <cell r="AK15" t="str">
            <v>D&amp;R PRODUCCIONES_LOGISTICA_VARIOS_13-03-2026.pdf</v>
          </cell>
          <cell r="AL15" t="str">
            <v>Gestión</v>
          </cell>
          <cell r="AM15" t="str">
            <v>D&amp;R PRODUCCIONES SAS</v>
          </cell>
          <cell r="AN15">
            <v>31512</v>
          </cell>
          <cell r="AO15" t="str">
            <v>Precio sin Ipoconsumo</v>
          </cell>
          <cell r="AP15" t="str">
            <v>Si tiene IPOCONSUMO</v>
          </cell>
          <cell r="AQ15">
            <v>31512</v>
          </cell>
          <cell r="AR15">
            <v>2520.96</v>
          </cell>
          <cell r="AS15">
            <v>34032.959999999999</v>
          </cell>
          <cell r="AT15">
            <v>31512</v>
          </cell>
          <cell r="AU15">
            <v>34032.959999999999</v>
          </cell>
          <cell r="AV15">
            <v>40864</v>
          </cell>
          <cell r="AW15">
            <v>40864</v>
          </cell>
          <cell r="AX15">
            <v>7326</v>
          </cell>
          <cell r="AY15">
            <v>0.17927760375880999</v>
          </cell>
          <cell r="BA15">
            <v>3</v>
          </cell>
        </row>
        <row r="16">
          <cell r="D16" t="str">
            <v>Almuerzo Tipo 2</v>
          </cell>
          <cell r="E16" t="str">
            <v>Entrada, sopa o porción de fruta, 2 carnes (130 gr. c/u) + 1 carbohidrato 100 gramos + 1 ensalada 100 gramos + 1 acompañamiento 50 gramos + postre 50 gramos + bebida 250 ml. Servicio de samovares y servido en desechables biodegradables</v>
          </cell>
          <cell r="F16" t="str">
            <v>Servicio</v>
          </cell>
          <cell r="G16">
            <v>1</v>
          </cell>
          <cell r="H16" t="str">
            <v>Compra</v>
          </cell>
          <cell r="I16" t="str">
            <v>Luz Jimenez</v>
          </cell>
          <cell r="J16">
            <v>46134</v>
          </cell>
          <cell r="K16" t="str">
            <v>Inversiones Becorati_Varios _09-02-2026</v>
          </cell>
          <cell r="L16" t="str">
            <v>Gestión</v>
          </cell>
          <cell r="M16" t="str">
            <v>INVERSIONES BECORATI E Y O SAS</v>
          </cell>
          <cell r="N16">
            <v>32000</v>
          </cell>
          <cell r="O16" t="str">
            <v>Precio sin Ipoconsumo</v>
          </cell>
          <cell r="P16" t="str">
            <v>Si tiene IPOCONSUMO</v>
          </cell>
          <cell r="Q16">
            <v>32000</v>
          </cell>
          <cell r="R16">
            <v>2560</v>
          </cell>
          <cell r="S16">
            <v>34560</v>
          </cell>
          <cell r="T16">
            <v>32000</v>
          </cell>
          <cell r="U16">
            <v>34560</v>
          </cell>
          <cell r="V16" t="str">
            <v>Luz Jimenez</v>
          </cell>
          <cell r="W16">
            <v>46134</v>
          </cell>
          <cell r="X16" t="str">
            <v>Catering Depot.pdf</v>
          </cell>
          <cell r="Y16" t="str">
            <v>Gestión</v>
          </cell>
          <cell r="Z16" t="str">
            <v>Catering Depot</v>
          </cell>
          <cell r="AA16">
            <v>45000</v>
          </cell>
          <cell r="AB16" t="str">
            <v>Precio sin Ipoconsumo</v>
          </cell>
          <cell r="AC16" t="str">
            <v>Si tiene IPOCONSUMO</v>
          </cell>
          <cell r="AD16">
            <v>45000</v>
          </cell>
          <cell r="AE16">
            <v>3600</v>
          </cell>
          <cell r="AF16">
            <v>48600</v>
          </cell>
          <cell r="AG16">
            <v>45000</v>
          </cell>
          <cell r="AH16">
            <v>48600</v>
          </cell>
          <cell r="AV16">
            <v>41580</v>
          </cell>
          <cell r="AW16">
            <v>41580</v>
          </cell>
          <cell r="AX16">
            <v>9928</v>
          </cell>
          <cell r="AY16">
            <v>0.23876863876863899</v>
          </cell>
          <cell r="BA16">
            <v>2</v>
          </cell>
        </row>
        <row r="17">
          <cell r="D17" t="str">
            <v>Almuerzo Tipo 3 - Vegano</v>
          </cell>
          <cell r="E17" t="str">
            <v>Entrada, sopa o porción de fruta, Proteína vegetal + 1 carbohidrato 100 gramos + 1 ensalada 100 gramos + 1 acompañamiento 50 gramos + postre 50 gramos + bebida 250 ml. Servicio de samovares y servido en desechables biodegradables</v>
          </cell>
          <cell r="F17" t="str">
            <v>Servicio</v>
          </cell>
          <cell r="G17">
            <v>1</v>
          </cell>
          <cell r="H17" t="str">
            <v>Compra</v>
          </cell>
          <cell r="I17" t="str">
            <v>Luz Jimenez</v>
          </cell>
          <cell r="J17">
            <v>46134</v>
          </cell>
          <cell r="K17" t="str">
            <v>Inversiones Becorati_Varios _09-02-2026</v>
          </cell>
          <cell r="L17" t="str">
            <v>Gestión</v>
          </cell>
          <cell r="M17" t="str">
            <v>INVERSIONES BECORATI E Y O SAS</v>
          </cell>
          <cell r="N17">
            <v>30000</v>
          </cell>
          <cell r="O17" t="str">
            <v>Precio sin Ipoconsumo</v>
          </cell>
          <cell r="P17" t="str">
            <v>Si tiene IPOCONSUMO</v>
          </cell>
          <cell r="Q17">
            <v>30000</v>
          </cell>
          <cell r="R17">
            <v>2400</v>
          </cell>
          <cell r="S17">
            <v>32400</v>
          </cell>
          <cell r="T17">
            <v>30000</v>
          </cell>
          <cell r="U17">
            <v>32400</v>
          </cell>
          <cell r="V17" t="str">
            <v>Luz Jimenez</v>
          </cell>
          <cell r="W17">
            <v>46149</v>
          </cell>
          <cell r="X17" t="str">
            <v>Catering Depot.pdf</v>
          </cell>
          <cell r="Y17" t="str">
            <v>Transcripción</v>
          </cell>
          <cell r="Z17" t="str">
            <v>Catering Depot</v>
          </cell>
          <cell r="AA17">
            <v>45000</v>
          </cell>
          <cell r="AB17" t="str">
            <v>Precio sin Ipoconsumo</v>
          </cell>
          <cell r="AC17" t="str">
            <v>Si tiene IPOCONSUMO</v>
          </cell>
          <cell r="AD17">
            <v>45000</v>
          </cell>
          <cell r="AE17">
            <v>3600</v>
          </cell>
          <cell r="AF17">
            <v>48600</v>
          </cell>
          <cell r="AG17">
            <v>45000</v>
          </cell>
          <cell r="AH17">
            <v>48600</v>
          </cell>
          <cell r="AI17" t="str">
            <v>Luz Jimenez</v>
          </cell>
          <cell r="AJ17">
            <v>46149</v>
          </cell>
          <cell r="AK17" t="str">
            <v>D&amp;R PRODUCCIONES_LOGISTICA_VARIOS_13-03-2026.pdf</v>
          </cell>
          <cell r="AL17" t="str">
            <v>Transcripción</v>
          </cell>
          <cell r="AM17" t="str">
            <v>D&amp;R PRODUCCIONES SAS</v>
          </cell>
          <cell r="AN17">
            <v>33445</v>
          </cell>
          <cell r="AO17" t="str">
            <v>Precio sin Ipoconsumo</v>
          </cell>
          <cell r="AP17" t="str">
            <v>Si tiene IPOCONSUMO</v>
          </cell>
          <cell r="AQ17">
            <v>33445</v>
          </cell>
          <cell r="AR17">
            <v>2675.6</v>
          </cell>
          <cell r="AS17">
            <v>36120.6</v>
          </cell>
          <cell r="AT17">
            <v>33445</v>
          </cell>
          <cell r="AU17">
            <v>36120.6</v>
          </cell>
          <cell r="AV17">
            <v>39040</v>
          </cell>
          <cell r="AW17">
            <v>39040</v>
          </cell>
          <cell r="AX17">
            <v>8485</v>
          </cell>
          <cell r="AY17">
            <v>0.21734118852459</v>
          </cell>
          <cell r="BA17">
            <v>3</v>
          </cell>
        </row>
        <row r="18">
          <cell r="D18" t="str">
            <v>Almuerzo Tipo 4 -Vegetariano</v>
          </cell>
          <cell r="E18" t="str">
            <v>Entrada, sopa o porción de fruta, Proteína vegetal + 1 carbohidrato 100 gramos + 1 ensalada 100 gramos + 1 acompañamiento 50 gramos + postre 50 gramos + bebida 250 ml. Servicio de samovares y servido en cerámica</v>
          </cell>
          <cell r="F18" t="str">
            <v>Servicio</v>
          </cell>
          <cell r="G18">
            <v>1</v>
          </cell>
          <cell r="H18" t="str">
            <v>Compra</v>
          </cell>
          <cell r="I18" t="str">
            <v>Luz Jimenez</v>
          </cell>
          <cell r="J18">
            <v>46134</v>
          </cell>
          <cell r="K18" t="str">
            <v>Inversiones Becorati_Varios _09-02-2026</v>
          </cell>
          <cell r="L18" t="str">
            <v>Gestión</v>
          </cell>
          <cell r="M18" t="str">
            <v>INVERSIONES BECORATI E Y O SAS</v>
          </cell>
          <cell r="N18">
            <v>34000</v>
          </cell>
          <cell r="O18" t="str">
            <v>Precio sin Ipoconsumo</v>
          </cell>
          <cell r="P18" t="str">
            <v>Si tiene IPOCONSUMO</v>
          </cell>
          <cell r="Q18">
            <v>34000</v>
          </cell>
          <cell r="R18">
            <v>2720</v>
          </cell>
          <cell r="S18">
            <v>36720</v>
          </cell>
          <cell r="T18">
            <v>34000</v>
          </cell>
          <cell r="U18">
            <v>36720</v>
          </cell>
          <cell r="V18" t="str">
            <v>Luz Jimenez</v>
          </cell>
          <cell r="W18">
            <v>46134</v>
          </cell>
          <cell r="X18" t="str">
            <v>Catering Depot.pdf</v>
          </cell>
          <cell r="Y18" t="str">
            <v>Gestión</v>
          </cell>
          <cell r="Z18" t="str">
            <v>Catering Depot</v>
          </cell>
          <cell r="AA18">
            <v>45000</v>
          </cell>
          <cell r="AB18" t="str">
            <v>Precio sin Ipoconsumo</v>
          </cell>
          <cell r="AC18" t="str">
            <v>Si tiene IPOCONSUMO</v>
          </cell>
          <cell r="AD18">
            <v>45000</v>
          </cell>
          <cell r="AE18">
            <v>3600</v>
          </cell>
          <cell r="AF18">
            <v>48600</v>
          </cell>
          <cell r="AG18">
            <v>45000</v>
          </cell>
          <cell r="AH18">
            <v>48600</v>
          </cell>
          <cell r="AI18" t="str">
            <v>Luz Jimenez</v>
          </cell>
          <cell r="AJ18">
            <v>46094</v>
          </cell>
          <cell r="AK18" t="str">
            <v>D&amp;R PRODUCCIONES_LOGISTICA_VARIOS_13-03-2026.pdf</v>
          </cell>
          <cell r="AL18" t="str">
            <v>Gestión</v>
          </cell>
          <cell r="AM18" t="str">
            <v>D&amp;R PRODUCCIONES SAS</v>
          </cell>
          <cell r="AN18">
            <v>33445</v>
          </cell>
          <cell r="AO18" t="str">
            <v>Precio sin Ipoconsumo</v>
          </cell>
          <cell r="AP18" t="str">
            <v>Si tiene IPOCONSUMO</v>
          </cell>
          <cell r="AQ18">
            <v>33445</v>
          </cell>
          <cell r="AR18">
            <v>2675.6</v>
          </cell>
          <cell r="AS18">
            <v>36120.6</v>
          </cell>
          <cell r="AT18">
            <v>33445</v>
          </cell>
          <cell r="AU18">
            <v>36120.6</v>
          </cell>
          <cell r="AV18">
            <v>40480</v>
          </cell>
          <cell r="AW18">
            <v>40480</v>
          </cell>
          <cell r="AX18">
            <v>7038</v>
          </cell>
          <cell r="AY18">
            <v>0.173863636363636</v>
          </cell>
          <cell r="BA18">
            <v>3</v>
          </cell>
        </row>
        <row r="19">
          <cell r="D19" t="str">
            <v>Alquiler  Tarima 12 x 12 Jornada completa</v>
          </cell>
          <cell r="E19" t="str">
            <v>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v>
          </cell>
          <cell r="F19" t="str">
            <v>Unidad</v>
          </cell>
          <cell r="G19">
            <v>1</v>
          </cell>
          <cell r="H19" t="str">
            <v>Alquiler</v>
          </cell>
          <cell r="I19" t="str">
            <v>Luz Jimenez</v>
          </cell>
          <cell r="J19">
            <v>46153</v>
          </cell>
          <cell r="K19" t="str">
            <v>D&amp;R PRODUCCIONES_VARIOS_03_02_2026.pdf</v>
          </cell>
          <cell r="L19" t="str">
            <v>Gestión</v>
          </cell>
          <cell r="M19" t="str">
            <v>D&amp;R PRODUCCIONES</v>
          </cell>
          <cell r="N19">
            <v>3750000</v>
          </cell>
          <cell r="O19" t="str">
            <v>Precio sin Iva</v>
          </cell>
          <cell r="P19" t="str">
            <v>Si tiene IVA</v>
          </cell>
          <cell r="Q19">
            <v>3750000</v>
          </cell>
          <cell r="R19">
            <v>712500</v>
          </cell>
          <cell r="S19">
            <v>4462500</v>
          </cell>
          <cell r="T19">
            <v>3750000</v>
          </cell>
          <cell r="U19">
            <v>4462500</v>
          </cell>
          <cell r="V19" t="str">
            <v>Luz Jimenez</v>
          </cell>
          <cell r="W19">
            <v>46153</v>
          </cell>
          <cell r="X19" t="str">
            <v>ACTIVA2_EVENTOS_VARIOS.pdf</v>
          </cell>
          <cell r="Y19" t="str">
            <v>Gestión</v>
          </cell>
          <cell r="Z19" t="str">
            <v>ACTIVOS2 ENVENTOS</v>
          </cell>
          <cell r="AA19">
            <v>5000000</v>
          </cell>
          <cell r="AB19" t="str">
            <v>Precio sin Iva</v>
          </cell>
          <cell r="AC19" t="str">
            <v>Si tiene IVA</v>
          </cell>
          <cell r="AD19">
            <v>5000000</v>
          </cell>
          <cell r="AE19">
            <v>950000</v>
          </cell>
          <cell r="AF19">
            <v>5950000</v>
          </cell>
          <cell r="AG19">
            <v>5000000</v>
          </cell>
          <cell r="AH19">
            <v>5950000</v>
          </cell>
          <cell r="AI19" t="str">
            <v>Luz Jimenez</v>
          </cell>
          <cell r="AJ19">
            <v>46153</v>
          </cell>
          <cell r="AK19" t="str">
            <v>PRODUCCIONES_EL_SOL_VARIOS.pdf</v>
          </cell>
          <cell r="AL19" t="str">
            <v>Gestión</v>
          </cell>
          <cell r="AM19" t="str">
            <v>PRODUCCIONES EL SOL</v>
          </cell>
          <cell r="AN19">
            <v>4200000</v>
          </cell>
          <cell r="AO19" t="str">
            <v>Precio sin Iva</v>
          </cell>
          <cell r="AP19" t="str">
            <v>Si tiene IVA</v>
          </cell>
          <cell r="AQ19">
            <v>4200000</v>
          </cell>
          <cell r="AR19">
            <v>798000</v>
          </cell>
          <cell r="AS19">
            <v>4998000</v>
          </cell>
          <cell r="AT19">
            <v>4200000</v>
          </cell>
          <cell r="AU19">
            <v>4998000</v>
          </cell>
          <cell r="AV19">
            <v>5136833</v>
          </cell>
          <cell r="AW19">
            <v>5136833</v>
          </cell>
          <cell r="AX19">
            <v>753406</v>
          </cell>
          <cell r="AY19">
            <v>0.14666741161334201</v>
          </cell>
          <cell r="BA19">
            <v>3</v>
          </cell>
        </row>
        <row r="20">
          <cell r="D20" t="str">
            <v>Alquiler ambulancia</v>
          </cell>
          <cell r="E20" t="str">
            <v>Alquiler de Ambulancia medicalizada durante una jornada de 6 a 8 horas</v>
          </cell>
          <cell r="F20" t="str">
            <v>Servicio</v>
          </cell>
          <cell r="G20">
            <v>1</v>
          </cell>
          <cell r="H20" t="str">
            <v>Alquiler</v>
          </cell>
          <cell r="I20" t="str">
            <v>Luz Jimenez</v>
          </cell>
          <cell r="J20">
            <v>46134</v>
          </cell>
          <cell r="K20" t="str">
            <v>Ambulacias Particulares Ayudar_Ambulancia.pdf</v>
          </cell>
          <cell r="L20" t="str">
            <v>Gestión</v>
          </cell>
          <cell r="M20" t="str">
            <v>Ambulancias Particulares Ayudar</v>
          </cell>
          <cell r="N20">
            <v>1020000</v>
          </cell>
          <cell r="O20" t="str">
            <v>Precio sin Iva</v>
          </cell>
          <cell r="P20" t="str">
            <v>No tiene IVA</v>
          </cell>
          <cell r="Q20">
            <v>1360000</v>
          </cell>
          <cell r="R20">
            <v>0</v>
          </cell>
          <cell r="S20">
            <v>1360000</v>
          </cell>
          <cell r="T20">
            <v>1020000</v>
          </cell>
          <cell r="U20">
            <v>1360000</v>
          </cell>
          <cell r="V20" t="str">
            <v>Luz Jimenez</v>
          </cell>
          <cell r="W20">
            <v>46134</v>
          </cell>
          <cell r="X20" t="str">
            <v>D&amp;R PRODUCCIONES_LOGISTICA_VARIOS_13-03-2026.pdf</v>
          </cell>
          <cell r="Y20" t="str">
            <v>Gestión</v>
          </cell>
          <cell r="Z20" t="str">
            <v>D&amp;R PRODUCCIONES SAS</v>
          </cell>
          <cell r="AA20">
            <v>1280000</v>
          </cell>
          <cell r="AB20" t="str">
            <v>Precio sin Iva</v>
          </cell>
          <cell r="AC20" t="str">
            <v>No tiene IVA</v>
          </cell>
          <cell r="AD20">
            <v>1280000</v>
          </cell>
          <cell r="AE20">
            <v>0</v>
          </cell>
          <cell r="AF20">
            <v>1280000</v>
          </cell>
          <cell r="AG20">
            <v>1280000</v>
          </cell>
          <cell r="AH20">
            <v>1280000</v>
          </cell>
          <cell r="AI20" t="str">
            <v>Luz Jimenez</v>
          </cell>
          <cell r="AJ20">
            <v>46134</v>
          </cell>
          <cell r="AK20" t="str">
            <v>LOGISTBOX L&amp;L SAS</v>
          </cell>
          <cell r="AL20" t="str">
            <v>Gestión</v>
          </cell>
          <cell r="AM20" t="str">
            <v>LOGISTBOX L&amp;L SAS</v>
          </cell>
          <cell r="AN20">
            <v>1394000</v>
          </cell>
          <cell r="AO20" t="str">
            <v>Precio sin Iva</v>
          </cell>
          <cell r="AP20" t="str">
            <v>No tiene IVA</v>
          </cell>
          <cell r="AQ20">
            <v>1394000</v>
          </cell>
          <cell r="AR20">
            <v>0</v>
          </cell>
          <cell r="AS20">
            <v>1394000</v>
          </cell>
          <cell r="AT20">
            <v>1394000</v>
          </cell>
          <cell r="AU20">
            <v>1394000</v>
          </cell>
          <cell r="AV20">
            <v>1344667</v>
          </cell>
          <cell r="AW20">
            <v>1344667</v>
          </cell>
          <cell r="AX20">
            <v>58526</v>
          </cell>
          <cell r="AY20">
            <v>4.35245306086934E-2</v>
          </cell>
          <cell r="BA20">
            <v>3</v>
          </cell>
          <cell r="BB20" t="str">
            <v>Primer ítem sin IVA  // Segundo ítem sin IVA // Tercer ítem sin IVA</v>
          </cell>
        </row>
        <row r="21">
          <cell r="D21" t="str">
            <v>Alquiler backline</v>
          </cell>
          <cell r="E21" t="str">
            <v>ALQUILER DE BACKLINE PROFESIONAL  COMPUESTO POR: 2 AMPLIFICADORES PROFESIONALES DE GUITARRA CABINA CABEZOTE,  1 AMPLIFICADOR PROFESIONAL DE BAJO CABINA CABEZOTE,  BATERÍA 5 PIEZAS (JORNADA POR EVENTO O DÍA)</v>
          </cell>
          <cell r="F21" t="str">
            <v>SERVICIO</v>
          </cell>
          <cell r="G21">
            <v>1</v>
          </cell>
          <cell r="Q21" t="str">
            <v> </v>
          </cell>
          <cell r="R21" t="str">
            <v> </v>
          </cell>
          <cell r="S21" t="str">
            <v> </v>
          </cell>
          <cell r="T21" t="str">
            <v> </v>
          </cell>
          <cell r="U21" t="str">
            <v> </v>
          </cell>
          <cell r="V21" t="str">
            <v>OPERADOR LOGÍSTICO</v>
          </cell>
          <cell r="W21" t="str">
            <v>OPERADOR LOGÍSTICO</v>
          </cell>
          <cell r="X21" t="str">
            <v>OPERADOR LOGÍSTICO</v>
          </cell>
          <cell r="Y21" t="str">
            <v>OPERADOR LOGÍSTICO</v>
          </cell>
          <cell r="Z21" t="str">
            <v>Estimación de precios con base en el proceso FDLSUBA-LP-013-2025 (140689) – Contrato 1000 – 2025, indexando el incremento de precios en el mercado con base en el Índice de Precios al Consumidor (IPC) para el mes de marzo de 2026, el cual fue de 5,56%.</v>
          </cell>
          <cell r="AA21" t="str">
            <v>OPERADOR LOGÍSTICO</v>
          </cell>
          <cell r="AB21" t="str">
            <v>OPERADOR LOGÍSTICO</v>
          </cell>
          <cell r="AC21" t="str">
            <v>OPERADOR LOGÍSTICO</v>
          </cell>
          <cell r="AD21" t="str">
            <v>OPERADOR LOGÍSTICO</v>
          </cell>
          <cell r="AE21" t="str">
            <v>OPERADOR LOGÍSTICO</v>
          </cell>
          <cell r="AF21">
            <v>3265566.3865546202</v>
          </cell>
          <cell r="AG21">
            <v>620457.61344537826</v>
          </cell>
          <cell r="AH21">
            <v>3886024</v>
          </cell>
          <cell r="AI21" t="str">
            <v>OPERADOR LOGÍSTICO</v>
          </cell>
          <cell r="AJ21" t="str">
            <v>OPERADOR LOGÍSTICO</v>
          </cell>
          <cell r="AK21" t="str">
            <v>OPERADOR LOGÍSTICO</v>
          </cell>
          <cell r="AL21" t="str">
            <v>OPERADOR LOGÍSTICO</v>
          </cell>
          <cell r="AM21" t="str">
            <v>FUNCAS</v>
          </cell>
          <cell r="AN21" t="str">
            <v>OPERADOR LOGÍSTICO</v>
          </cell>
          <cell r="AO21" t="str">
            <v>OPERADOR LOGÍSTICO</v>
          </cell>
          <cell r="AP21" t="str">
            <v>OPERADOR LOGÍSTICO</v>
          </cell>
          <cell r="AQ21">
            <v>3155435</v>
          </cell>
          <cell r="AR21">
            <v>599533</v>
          </cell>
          <cell r="AS21">
            <v>3754968</v>
          </cell>
          <cell r="AT21">
            <v>3155435</v>
          </cell>
          <cell r="AU21">
            <v>3754968</v>
          </cell>
          <cell r="AV21">
            <v>3510267</v>
          </cell>
          <cell r="AW21">
            <v>3510267</v>
          </cell>
          <cell r="AX21" t="str">
            <v/>
          </cell>
          <cell r="AY21">
            <v>2.4299999999999999E-2</v>
          </cell>
        </row>
        <row r="22">
          <cell r="D22" t="str">
            <v>Alquiler baño portatil tipo 1</v>
          </cell>
          <cell r="E22" t="str">
            <v>ALQUILER DE 2 BAÑOS PORTÁTILES PERSONAS DISCAPACITADAS: INCLUYE SUMINISTRO DE PAPEL HIGIÉNICO – PERSONA DE ASEO (JORNADA POR EVENTO O DÍA)   INCLUYE INSTALACIÓN, TRASPORTE Y ENTREGA EN EL LUGAR REQUERIDO, MONTAJE Y DESMONTAJE</v>
          </cell>
          <cell r="F22" t="str">
            <v>SERVICIO</v>
          </cell>
          <cell r="G22">
            <v>1</v>
          </cell>
          <cell r="Q22" t="str">
            <v> </v>
          </cell>
          <cell r="R22" t="str">
            <v> </v>
          </cell>
          <cell r="S22" t="str">
            <v> </v>
          </cell>
          <cell r="T22" t="str">
            <v> </v>
          </cell>
          <cell r="U22" t="str">
            <v> </v>
          </cell>
          <cell r="V22" t="str">
            <v>OPERADOR LOGÍSTICO</v>
          </cell>
          <cell r="W22" t="str">
            <v>OPERADOR LOGÍSTICO</v>
          </cell>
          <cell r="X22" t="str">
            <v>OPERADOR LOGÍSTICO</v>
          </cell>
          <cell r="Y22" t="str">
            <v>OPERADOR LOGÍSTICO</v>
          </cell>
          <cell r="Z22" t="str">
            <v>Estimación de precios con base en el proceso FDLSUBA-LP-013-2025 (140689) – Contrato 1000 – 2025, indexando el incremento de precios en el mercado con base en el Índice de Precios al Consumidor (IPC) para el mes de marzo de 2026, el cual fue de 5,56%.</v>
          </cell>
          <cell r="AA22" t="str">
            <v>OPERADOR LOGÍSTICO</v>
          </cell>
          <cell r="AB22" t="str">
            <v>OPERADOR LOGÍSTICO</v>
          </cell>
          <cell r="AC22" t="str">
            <v>OPERADOR LOGÍSTICO</v>
          </cell>
          <cell r="AD22" t="str">
            <v>OPERADOR LOGÍSTICO</v>
          </cell>
          <cell r="AE22" t="str">
            <v>OPERADOR LOGÍSTICO</v>
          </cell>
          <cell r="AF22">
            <v>397642.01680672268</v>
          </cell>
          <cell r="AG22">
            <v>75551.983193277323</v>
          </cell>
          <cell r="AH22">
            <v>473194</v>
          </cell>
          <cell r="AI22" t="str">
            <v>OPERADOR LOGÍSTICO</v>
          </cell>
          <cell r="AJ22" t="str">
            <v>OPERADOR LOGÍSTICO</v>
          </cell>
          <cell r="AK22" t="str">
            <v>OPERADOR LOGÍSTICO</v>
          </cell>
          <cell r="AL22" t="str">
            <v>OPERADOR LOGÍSTICO</v>
          </cell>
          <cell r="AM22" t="str">
            <v>FUNCAS</v>
          </cell>
          <cell r="AN22" t="str">
            <v>OPERADOR LOGÍSTICO</v>
          </cell>
          <cell r="AO22" t="str">
            <v>OPERADOR LOGÍSTICO</v>
          </cell>
          <cell r="AP22" t="str">
            <v>OPERADOR LOGÍSTICO</v>
          </cell>
          <cell r="AQ22">
            <v>395532</v>
          </cell>
          <cell r="AR22">
            <v>75151</v>
          </cell>
          <cell r="AS22">
            <v>470684</v>
          </cell>
          <cell r="AT22">
            <v>395532</v>
          </cell>
          <cell r="AU22">
            <v>470684</v>
          </cell>
          <cell r="AV22">
            <v>434163</v>
          </cell>
          <cell r="AW22">
            <v>434163</v>
          </cell>
          <cell r="AX22" t="str">
            <v/>
          </cell>
          <cell r="AY22">
            <v>3.8E-3</v>
          </cell>
        </row>
        <row r="23">
          <cell r="D23" t="str">
            <v>Alquiler baño portatil tipo 2</v>
          </cell>
          <cell r="E23" t="str">
            <v>Alquiler de  2 baños portátiles (sanitario, lavamanos) incluyendo transporte, instalación y desinstalación - tiempo de alquiler 1 día.   incluye instalación, trasporte y entrega en el lugar requerido, montaje y desmontaje</v>
          </cell>
          <cell r="F23" t="str">
            <v>SERVICIO</v>
          </cell>
          <cell r="G23">
            <v>1</v>
          </cell>
          <cell r="Q23" t="str">
            <v> </v>
          </cell>
          <cell r="R23" t="str">
            <v> </v>
          </cell>
          <cell r="S23" t="str">
            <v> </v>
          </cell>
          <cell r="T23" t="str">
            <v> </v>
          </cell>
          <cell r="U23" t="str">
            <v> </v>
          </cell>
          <cell r="V23" t="str">
            <v>OPERADOR LOGÍSTICO</v>
          </cell>
          <cell r="W23" t="str">
            <v>OPERADOR LOGÍSTICO</v>
          </cell>
          <cell r="X23" t="str">
            <v>OPERADOR LOGÍSTICO</v>
          </cell>
          <cell r="Y23" t="str">
            <v>OPERADOR LOGÍSTICO</v>
          </cell>
          <cell r="Z23" t="str">
            <v>Estimación de precios con base en el proceso FDLSUBA-LP-013-2025 (140689) – Contrato 1000 – 2025, indexando el incremento de precios en el mercado con base en el Índice de Precios al Consumidor (IPC) para el mes de marzo de 2026, el cual fue de 5,56%.</v>
          </cell>
          <cell r="AA23" t="str">
            <v>OPERADOR LOGÍSTICO</v>
          </cell>
          <cell r="AB23" t="str">
            <v>OPERADOR LOGÍSTICO</v>
          </cell>
          <cell r="AC23" t="str">
            <v>OPERADOR LOGÍSTICO</v>
          </cell>
          <cell r="AD23" t="str">
            <v>OPERADOR LOGÍSTICO</v>
          </cell>
          <cell r="AE23" t="str">
            <v>OPERADOR LOGÍSTICO</v>
          </cell>
          <cell r="AF23">
            <v>222680.6722689076</v>
          </cell>
          <cell r="AG23">
            <v>42309.327731092439</v>
          </cell>
          <cell r="AH23">
            <v>264990</v>
          </cell>
          <cell r="AI23" t="str">
            <v>OPERADOR LOGÍSTICO</v>
          </cell>
          <cell r="AJ23" t="str">
            <v>OPERADOR LOGÍSTICO</v>
          </cell>
          <cell r="AK23" t="str">
            <v>OPERADOR LOGÍSTICO</v>
          </cell>
          <cell r="AL23" t="str">
            <v>OPERADOR LOGÍSTICO</v>
          </cell>
          <cell r="AM23" t="str">
            <v>FUNCAS</v>
          </cell>
          <cell r="AN23" t="str">
            <v>OPERADOR LOGÍSTICO</v>
          </cell>
          <cell r="AO23" t="str">
            <v>OPERADOR LOGÍSTICO</v>
          </cell>
          <cell r="AP23" t="str">
            <v>OPERADOR LOGÍSTICO</v>
          </cell>
          <cell r="AQ23">
            <v>221500</v>
          </cell>
          <cell r="AR23">
            <v>42085</v>
          </cell>
          <cell r="AS23">
            <v>263585</v>
          </cell>
          <cell r="AT23">
            <v>221500</v>
          </cell>
          <cell r="AU23">
            <v>263585</v>
          </cell>
          <cell r="AV23">
            <v>243133</v>
          </cell>
          <cell r="AW23">
            <v>243133</v>
          </cell>
          <cell r="AX23" t="str">
            <v/>
          </cell>
          <cell r="AY23">
            <v>3.8E-3</v>
          </cell>
        </row>
        <row r="24">
          <cell r="D24" t="str">
            <v>Alquiler canal</v>
          </cell>
          <cell r="E24" t="str">
            <v>CANAL DEDICADO 1 ALQUILER DE SERVICIO DE CANAL DEDICADO 1:1 TRANSPORTE INTERNET GOLD,  CAPACIDAD DE 10 MEGAS, CON RADIO ENLACE.</v>
          </cell>
          <cell r="F24" t="str">
            <v>SERVICIO</v>
          </cell>
          <cell r="G24">
            <v>1</v>
          </cell>
          <cell r="Q24" t="str">
            <v> </v>
          </cell>
          <cell r="R24" t="str">
            <v> </v>
          </cell>
          <cell r="S24" t="str">
            <v> </v>
          </cell>
          <cell r="T24" t="str">
            <v> </v>
          </cell>
          <cell r="U24" t="str">
            <v> </v>
          </cell>
          <cell r="V24" t="str">
            <v>OPERADOR LOGÍSTICO</v>
          </cell>
          <cell r="W24" t="str">
            <v>OPERADOR LOGÍSTICO</v>
          </cell>
          <cell r="X24" t="str">
            <v>OPERADOR LOGÍSTICO</v>
          </cell>
          <cell r="Y24" t="str">
            <v>OPERADOR LOGÍSTICO</v>
          </cell>
          <cell r="Z24" t="str">
            <v>Estimación de precios con base en el proceso FDLSUBA-LP-013-2025 (140689) – Contrato 1000 – 2025, indexando el incremento de precios en el mercado con base en el Índice de Precios al Consumidor (IPC) para el mes de marzo de 2026, el cual fue de 5,56%.</v>
          </cell>
          <cell r="AA24" t="str">
            <v>OPERADOR LOGÍSTICO</v>
          </cell>
          <cell r="AB24" t="str">
            <v>OPERADOR LOGÍSTICO</v>
          </cell>
          <cell r="AC24" t="str">
            <v>OPERADOR LOGÍSTICO</v>
          </cell>
          <cell r="AD24" t="str">
            <v>OPERADOR LOGÍSTICO</v>
          </cell>
          <cell r="AE24" t="str">
            <v>OPERADOR LOGÍSTICO</v>
          </cell>
          <cell r="AF24">
            <v>1409391.5966386599</v>
          </cell>
          <cell r="AG24">
            <v>267784.40336134448</v>
          </cell>
          <cell r="AH24">
            <v>1677176</v>
          </cell>
          <cell r="AI24" t="str">
            <v>OPERADOR LOGÍSTICO</v>
          </cell>
          <cell r="AJ24" t="str">
            <v>OPERADOR LOGÍSTICO</v>
          </cell>
          <cell r="AK24" t="str">
            <v>OPERADOR LOGÍSTICO</v>
          </cell>
          <cell r="AL24" t="str">
            <v>OPERADOR LOGÍSTICO</v>
          </cell>
          <cell r="AM24" t="str">
            <v>FUNCAS</v>
          </cell>
          <cell r="AN24" t="str">
            <v>OPERADOR LOGÍSTICO</v>
          </cell>
          <cell r="AO24" t="str">
            <v>OPERADOR LOGÍSTICO</v>
          </cell>
          <cell r="AP24" t="str">
            <v>OPERADOR LOGÍSTICO</v>
          </cell>
          <cell r="AQ24">
            <v>1361860</v>
          </cell>
          <cell r="AR24">
            <v>258753</v>
          </cell>
          <cell r="AS24">
            <v>1620614</v>
          </cell>
          <cell r="AT24">
            <v>1361860</v>
          </cell>
          <cell r="AU24">
            <v>1620614</v>
          </cell>
          <cell r="AV24">
            <v>1515003</v>
          </cell>
          <cell r="AW24">
            <v>1515003</v>
          </cell>
          <cell r="AX24" t="str">
            <v/>
          </cell>
          <cell r="AY24">
            <v>2.4299999999999999E-2</v>
          </cell>
        </row>
        <row r="25">
          <cell r="D25" t="str">
            <v>Alquiler Carpa 2 x 2</v>
          </cell>
          <cell r="E25" t="str">
            <v>Alquiler Carpa 2X2 con laterales. Incluye transporte, instalación y entrega en el lugar requerido, montaje y desmontaje, alquiler por día.</v>
          </cell>
          <cell r="F25" t="str">
            <v>SERVICIO</v>
          </cell>
          <cell r="G25">
            <v>1</v>
          </cell>
          <cell r="Q25" t="str">
            <v> </v>
          </cell>
          <cell r="R25" t="str">
            <v> </v>
          </cell>
          <cell r="S25" t="str">
            <v> </v>
          </cell>
          <cell r="T25" t="str">
            <v> </v>
          </cell>
          <cell r="U25" t="str">
            <v> </v>
          </cell>
          <cell r="V25" t="str">
            <v>OPERADOR LOGÍSTICO</v>
          </cell>
          <cell r="W25" t="str">
            <v>OPERADOR LOGÍSTICO</v>
          </cell>
          <cell r="X25" t="str">
            <v>OPERADOR LOGÍSTICO</v>
          </cell>
          <cell r="Y25" t="str">
            <v>OPERADOR LOGÍSTICO</v>
          </cell>
          <cell r="Z25" t="str">
            <v>Estimación de precios con base en el proceso FDLSUBA-LP-013-2025 (140689) – Contrato 1000 – 2025, indexando el incremento de precios en el mercado con base en el Índice de Precios al Consumidor (IPC) para el mes de marzo de 2026, el cual fue de 5,56%.</v>
          </cell>
          <cell r="AA25" t="str">
            <v>OPERADOR LOGÍSTICO</v>
          </cell>
          <cell r="AB25" t="str">
            <v>OPERADOR LOGÍSTICO</v>
          </cell>
          <cell r="AC25" t="str">
            <v>OPERADOR LOGÍSTICO</v>
          </cell>
          <cell r="AD25" t="str">
            <v>OPERADOR LOGÍSTICO</v>
          </cell>
          <cell r="AE25" t="str">
            <v>OPERADOR LOGÍSTICO</v>
          </cell>
          <cell r="AF25">
            <v>331316.80672268913</v>
          </cell>
          <cell r="AG25">
            <v>62950.193277310922</v>
          </cell>
          <cell r="AH25">
            <v>394267</v>
          </cell>
          <cell r="AI25" t="str">
            <v>OPERADOR LOGÍSTICO</v>
          </cell>
          <cell r="AJ25" t="str">
            <v>OPERADOR LOGÍSTICO</v>
          </cell>
          <cell r="AK25" t="str">
            <v>OPERADOR LOGÍSTICO</v>
          </cell>
          <cell r="AL25" t="str">
            <v>OPERADOR LOGÍSTICO</v>
          </cell>
          <cell r="AM25" t="str">
            <v>FUNCAS</v>
          </cell>
          <cell r="AN25" t="str">
            <v>OPERADOR LOGÍSTICO</v>
          </cell>
          <cell r="AO25" t="str">
            <v>OPERADOR LOGÍSTICO</v>
          </cell>
          <cell r="AP25" t="str">
            <v>OPERADOR LOGÍSTICO</v>
          </cell>
          <cell r="AQ25">
            <v>326420</v>
          </cell>
          <cell r="AR25">
            <v>62020</v>
          </cell>
          <cell r="AS25">
            <v>388440</v>
          </cell>
          <cell r="AT25">
            <v>326420</v>
          </cell>
          <cell r="AU25">
            <v>388440</v>
          </cell>
          <cell r="AV25">
            <v>359878</v>
          </cell>
          <cell r="AW25">
            <v>359878</v>
          </cell>
          <cell r="AX25" t="str">
            <v/>
          </cell>
          <cell r="AY25">
            <v>1.0500000000000001E-2</v>
          </cell>
        </row>
        <row r="26">
          <cell r="D26" t="str">
            <v>Alquiler Carpa 3 x 3</v>
          </cell>
          <cell r="E26" t="str">
            <v>Alquiler Carpa 3X3 con laterales. Incluye transporte, instalación y entrega en el lugar requerido, montaje y desmontaje, alquiler por día.</v>
          </cell>
          <cell r="F26" t="str">
            <v>SERVICIO</v>
          </cell>
          <cell r="G26">
            <v>1</v>
          </cell>
          <cell r="Q26" t="str">
            <v> </v>
          </cell>
          <cell r="R26" t="str">
            <v> </v>
          </cell>
          <cell r="S26" t="str">
            <v> </v>
          </cell>
          <cell r="T26" t="str">
            <v> </v>
          </cell>
          <cell r="U26" t="str">
            <v> </v>
          </cell>
          <cell r="V26" t="str">
            <v>OPERADOR LOGÍSTICO</v>
          </cell>
          <cell r="W26" t="str">
            <v>OPERADOR LOGÍSTICO</v>
          </cell>
          <cell r="X26" t="str">
            <v>OPERADOR LOGÍSTICO</v>
          </cell>
          <cell r="Y26" t="str">
            <v>OPERADOR LOGÍSTICO</v>
          </cell>
          <cell r="Z26" t="str">
            <v>Estimación de precios con base en el proceso FDLSUBA-LP-013-2025 (140689) – Contrato 1000 – 2025, indexando el incremento de precios en el mercado con base en el Índice de Precios al Consumidor (IPC) para el mes de marzo de 2026, el cual fue de 5,56%.</v>
          </cell>
          <cell r="AA26" t="str">
            <v>OPERADOR LOGÍSTICO</v>
          </cell>
          <cell r="AB26" t="str">
            <v>OPERADOR LOGÍSTICO</v>
          </cell>
          <cell r="AC26" t="str">
            <v>OPERADOR LOGÍSTICO</v>
          </cell>
          <cell r="AD26" t="str">
            <v>OPERADOR LOGÍSTICO</v>
          </cell>
          <cell r="AE26" t="str">
            <v>OPERADOR LOGÍSTICO</v>
          </cell>
          <cell r="AF26">
            <v>385870.58823529421</v>
          </cell>
          <cell r="AG26">
            <v>73315.411764705874</v>
          </cell>
          <cell r="AH26">
            <v>459186</v>
          </cell>
          <cell r="AI26" t="str">
            <v>OPERADOR LOGÍSTICO</v>
          </cell>
          <cell r="AJ26" t="str">
            <v>OPERADOR LOGÍSTICO</v>
          </cell>
          <cell r="AK26" t="str">
            <v>OPERADOR LOGÍSTICO</v>
          </cell>
          <cell r="AL26" t="str">
            <v>OPERADOR LOGÍSTICO</v>
          </cell>
          <cell r="AM26" t="str">
            <v>FUNCAS</v>
          </cell>
          <cell r="AN26" t="str">
            <v>OPERADOR LOGÍSTICO</v>
          </cell>
          <cell r="AO26" t="str">
            <v>OPERADOR LOGÍSTICO</v>
          </cell>
          <cell r="AP26" t="str">
            <v>OPERADOR LOGÍSTICO</v>
          </cell>
          <cell r="AQ26">
            <v>380168</v>
          </cell>
          <cell r="AR26">
            <v>72232</v>
          </cell>
          <cell r="AS26">
            <v>452400</v>
          </cell>
          <cell r="AT26">
            <v>380168</v>
          </cell>
          <cell r="AU26">
            <v>452400</v>
          </cell>
          <cell r="AV26">
            <v>419135</v>
          </cell>
          <cell r="AW26">
            <v>419135</v>
          </cell>
          <cell r="AX26" t="str">
            <v/>
          </cell>
          <cell r="AY26">
            <v>1.0500000000000001E-2</v>
          </cell>
        </row>
        <row r="27">
          <cell r="D27" t="str">
            <v>Alquiler Carpa 4 x 4</v>
          </cell>
          <cell r="E27" t="str">
            <v>Alquiler Carpa 4X4 con laterales. Incluye transporte, instalación y entrega en el lugar requerido, montaje y desmontaje, alquiler por día.</v>
          </cell>
          <cell r="F27" t="str">
            <v>Unidad</v>
          </cell>
          <cell r="G27">
            <v>1</v>
          </cell>
          <cell r="H27" t="str">
            <v>Alquiler</v>
          </cell>
          <cell r="I27" t="str">
            <v>Carol López</v>
          </cell>
          <cell r="J27">
            <v>46153</v>
          </cell>
          <cell r="K27" t="str">
            <v>On Music Eventos_Varios.pdf</v>
          </cell>
          <cell r="L27" t="str">
            <v>Gestión</v>
          </cell>
          <cell r="M27" t="str">
            <v>On Music Eventos</v>
          </cell>
          <cell r="N27">
            <v>450000</v>
          </cell>
          <cell r="O27" t="str">
            <v>Precio sin Iva</v>
          </cell>
          <cell r="P27" t="str">
            <v>Si tiene IVA</v>
          </cell>
          <cell r="Q27">
            <v>450000</v>
          </cell>
          <cell r="R27">
            <v>85500</v>
          </cell>
          <cell r="S27">
            <v>535500</v>
          </cell>
          <cell r="T27">
            <v>450000</v>
          </cell>
          <cell r="U27">
            <v>535500</v>
          </cell>
          <cell r="V27" t="str">
            <v>Luz Jimenez</v>
          </cell>
          <cell r="W27">
            <v>46153</v>
          </cell>
          <cell r="X27" t="str">
            <v>D&amp;R PRODUCCIONES_LOGISTICA_VARIOS_13-03-2026.pdf</v>
          </cell>
          <cell r="Y27" t="str">
            <v>Transcripción</v>
          </cell>
          <cell r="Z27" t="str">
            <v>D&amp;R PRODUCCIONES SAS</v>
          </cell>
          <cell r="AA27">
            <v>304500</v>
          </cell>
          <cell r="AB27" t="str">
            <v>Precio sin Iva</v>
          </cell>
          <cell r="AC27" t="str">
            <v>Si tiene IVA</v>
          </cell>
          <cell r="AD27">
            <v>304500</v>
          </cell>
          <cell r="AE27">
            <v>57855</v>
          </cell>
          <cell r="AF27">
            <v>362355</v>
          </cell>
          <cell r="AG27">
            <v>304500</v>
          </cell>
          <cell r="AH27">
            <v>362355</v>
          </cell>
          <cell r="AI27" t="str">
            <v>Carol Lopez</v>
          </cell>
          <cell r="AJ27">
            <v>46135</v>
          </cell>
          <cell r="AK27" t="str">
            <v>PROVENSA 17-04-2026.pdf</v>
          </cell>
          <cell r="AL27" t="str">
            <v>Transcripción</v>
          </cell>
          <cell r="AM27" t="str">
            <v>COMERCIALIZADORA PROVENSA</v>
          </cell>
          <cell r="AN27">
            <v>315126</v>
          </cell>
          <cell r="AO27" t="str">
            <v>Precio sin Iva</v>
          </cell>
          <cell r="AP27" t="str">
            <v>Si tiene IVA</v>
          </cell>
          <cell r="AQ27">
            <v>315126</v>
          </cell>
          <cell r="AR27">
            <v>59873.94</v>
          </cell>
          <cell r="AS27">
            <v>374999.94</v>
          </cell>
          <cell r="AT27">
            <v>315126</v>
          </cell>
          <cell r="AU27">
            <v>374999.94</v>
          </cell>
          <cell r="AV27">
            <v>424285</v>
          </cell>
          <cell r="AW27">
            <v>424285</v>
          </cell>
          <cell r="AX27">
            <v>96522</v>
          </cell>
          <cell r="AY27">
            <v>0.22749331227830299</v>
          </cell>
          <cell r="BA27">
            <v>3</v>
          </cell>
        </row>
        <row r="28">
          <cell r="D28" t="str">
            <v>Alquiler Carpa Hangar Circular</v>
          </cell>
          <cell r="E28" t="str">
            <v>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v>
          </cell>
          <cell r="F28" t="str">
            <v>SERVICIO</v>
          </cell>
          <cell r="G28">
            <v>1</v>
          </cell>
          <cell r="Q28" t="str">
            <v> </v>
          </cell>
          <cell r="R28" t="str">
            <v> </v>
          </cell>
          <cell r="S28" t="str">
            <v> </v>
          </cell>
          <cell r="T28" t="str">
            <v> </v>
          </cell>
          <cell r="U28" t="str">
            <v> </v>
          </cell>
          <cell r="V28" t="str">
            <v>OPERADOR LOGÍSTICO</v>
          </cell>
          <cell r="W28" t="str">
            <v>OPERADOR LOGÍSTICO</v>
          </cell>
          <cell r="X28" t="str">
            <v>OPERADOR LOGÍSTICO</v>
          </cell>
          <cell r="Y28" t="str">
            <v>OPERADOR LOGÍSTICO</v>
          </cell>
          <cell r="Z28" t="str">
            <v>Estimación de precios con base en el proceso FDLSUBA-LP-013-2025 (140689) – Contrato 1000 – 2025, indexando el incremento de precios en el mercado con base en el Índice de Precios al Consumidor (IPC) para el mes de marzo de 2026, el cual fue de 5,56%.</v>
          </cell>
          <cell r="AA28" t="str">
            <v>OPERADOR LOGÍSTICO</v>
          </cell>
          <cell r="AB28" t="str">
            <v>OPERADOR LOGÍSTICO</v>
          </cell>
          <cell r="AC28" t="str">
            <v>OPERADOR LOGÍSTICO</v>
          </cell>
          <cell r="AD28" t="str">
            <v>OPERADOR LOGÍSTICO</v>
          </cell>
          <cell r="AE28" t="str">
            <v>OPERADOR LOGÍSTICO</v>
          </cell>
          <cell r="AF28">
            <v>2494852.9411764699</v>
          </cell>
          <cell r="AG28">
            <v>474022.05882352951</v>
          </cell>
          <cell r="AH28">
            <v>2968875</v>
          </cell>
          <cell r="AI28" t="str">
            <v>OPERADOR LOGÍSTICO</v>
          </cell>
          <cell r="AJ28" t="str">
            <v>OPERADOR LOGÍSTICO</v>
          </cell>
          <cell r="AK28" t="str">
            <v>OPERADOR LOGÍSTICO</v>
          </cell>
          <cell r="AL28" t="str">
            <v>OPERADOR LOGÍSTICO</v>
          </cell>
          <cell r="AM28" t="str">
            <v>FUNCAS</v>
          </cell>
          <cell r="AN28" t="str">
            <v>OPERADOR LOGÍSTICO</v>
          </cell>
          <cell r="AO28" t="str">
            <v>OPERADOR LOGÍSTICO</v>
          </cell>
          <cell r="AP28" t="str">
            <v>OPERADOR LOGÍSTICO</v>
          </cell>
          <cell r="AQ28">
            <v>2457983</v>
          </cell>
          <cell r="AR28">
            <v>467017</v>
          </cell>
          <cell r="AS28">
            <v>2925000</v>
          </cell>
          <cell r="AT28">
            <v>2457983</v>
          </cell>
          <cell r="AU28">
            <v>2925000</v>
          </cell>
          <cell r="AV28">
            <v>2709926</v>
          </cell>
          <cell r="AW28">
            <v>2709926</v>
          </cell>
          <cell r="AX28" t="str">
            <v/>
          </cell>
          <cell r="AY28">
            <v>1.0500000000000001E-2</v>
          </cell>
        </row>
        <row r="29">
          <cell r="D29" t="str">
            <v>Alquiler Carpa Pagoda 4 x 4</v>
          </cell>
          <cell r="E29" t="str">
            <v>CARPA PAGODA DE 4X4 CON LATERALES  INCLUYE INSTALACIÓN, TRASPORTE Y ENTREGA EN EL LUGAR REQUERIDO, MONTAJE Y DESMONTAJE DE LA MISMA (JORNADA POR EVENTO O DÍA)</v>
          </cell>
          <cell r="F29" t="str">
            <v>SERVICIO</v>
          </cell>
          <cell r="G29">
            <v>1</v>
          </cell>
          <cell r="Q29" t="str">
            <v> </v>
          </cell>
          <cell r="R29" t="str">
            <v> </v>
          </cell>
          <cell r="S29" t="str">
            <v> </v>
          </cell>
          <cell r="T29" t="str">
            <v> </v>
          </cell>
          <cell r="U29" t="str">
            <v> </v>
          </cell>
          <cell r="V29" t="str">
            <v>OPERADOR LOGÍSTICO</v>
          </cell>
          <cell r="W29" t="str">
            <v>OPERADOR LOGÍSTICO</v>
          </cell>
          <cell r="X29" t="str">
            <v>OPERADOR LOGÍSTICO</v>
          </cell>
          <cell r="Y29" t="str">
            <v>OPERADOR LOGÍSTICO</v>
          </cell>
          <cell r="Z29" t="str">
            <v>Estimación de precios con base en el proceso FDLSUBA-LP-013-2025 (140689) – Contrato 1000 – 2025, indexando el incremento de precios en el mercado con base en el Índice de Precios al Consumidor (IPC) para el mes de marzo de 2026, el cual fue de 5,56%.</v>
          </cell>
          <cell r="AA29" t="str">
            <v>OPERADOR LOGÍSTICO</v>
          </cell>
          <cell r="AB29" t="str">
            <v>OPERADOR LOGÍSTICO</v>
          </cell>
          <cell r="AC29" t="str">
            <v>OPERADOR LOGÍSTICO</v>
          </cell>
          <cell r="AD29" t="str">
            <v>OPERADOR LOGÍSTICO</v>
          </cell>
          <cell r="AE29" t="str">
            <v>OPERADOR LOGÍSTICO</v>
          </cell>
          <cell r="AF29">
            <v>450182.3529411765</v>
          </cell>
          <cell r="AG29">
            <v>85534.647058823539</v>
          </cell>
          <cell r="AH29">
            <v>535717</v>
          </cell>
          <cell r="AI29" t="str">
            <v>OPERADOR LOGÍSTICO</v>
          </cell>
          <cell r="AJ29" t="str">
            <v>OPERADOR LOGÍSTICO</v>
          </cell>
          <cell r="AK29" t="str">
            <v>OPERADOR LOGÍSTICO</v>
          </cell>
          <cell r="AL29" t="str">
            <v>OPERADOR LOGÍSTICO</v>
          </cell>
          <cell r="AM29" t="str">
            <v>FUNCAS</v>
          </cell>
          <cell r="AN29" t="str">
            <v>OPERADOR LOGÍSTICO</v>
          </cell>
          <cell r="AO29" t="str">
            <v>OPERADOR LOGÍSTICO</v>
          </cell>
          <cell r="AP29" t="str">
            <v>OPERADOR LOGÍSTICO</v>
          </cell>
          <cell r="AQ29">
            <v>443529</v>
          </cell>
          <cell r="AR29">
            <v>84271</v>
          </cell>
          <cell r="AS29">
            <v>527800</v>
          </cell>
          <cell r="AT29">
            <v>443529</v>
          </cell>
          <cell r="AU29">
            <v>527800</v>
          </cell>
          <cell r="AV29">
            <v>488991</v>
          </cell>
          <cell r="AW29">
            <v>488991</v>
          </cell>
          <cell r="AX29" t="str">
            <v/>
          </cell>
          <cell r="AY29">
            <v>1.0500000000000001E-2</v>
          </cell>
        </row>
        <row r="30">
          <cell r="D30" t="str">
            <v>Alquiler de sillas</v>
          </cell>
          <cell r="E30" t="str">
            <v xml:space="preserve">Alquiler de sillas: sillas plástica tipo sin brazos de 46,7 cms de ancho x 50,5 cms de largo y 89 cms de alto incluido el transporte. </v>
          </cell>
          <cell r="F30" t="str">
            <v>SERVICIO</v>
          </cell>
          <cell r="G30">
            <v>1</v>
          </cell>
          <cell r="I30" t="str">
            <v>OPERADOR LOGÍSTICO</v>
          </cell>
          <cell r="J30" t="str">
            <v>OPERADOR LOGÍSTICO</v>
          </cell>
          <cell r="K30" t="str">
            <v>OPERADOR LOGÍSTICO</v>
          </cell>
          <cell r="L30" t="str">
            <v>OPERADOR LOGÍSTICO</v>
          </cell>
          <cell r="M30" t="str">
            <v>R Y F</v>
          </cell>
          <cell r="Q30">
            <v>4436.9747899159674</v>
          </cell>
          <cell r="R30">
            <v>843.02521008403369</v>
          </cell>
          <cell r="S30">
            <v>5280</v>
          </cell>
          <cell r="T30">
            <v>4437</v>
          </cell>
          <cell r="U30">
            <v>5280</v>
          </cell>
          <cell r="V30" t="str">
            <v>OPERADOR LOGÍSTICO</v>
          </cell>
          <cell r="W30" t="str">
            <v>OPERADOR LOGÍSTICO</v>
          </cell>
          <cell r="X30" t="str">
            <v>OPERADOR LOGÍSTICO</v>
          </cell>
          <cell r="Y30" t="str">
            <v>OPERADOR LOGÍSTICO</v>
          </cell>
          <cell r="Z30" t="str">
            <v>FUNCAS</v>
          </cell>
          <cell r="AA30" t="str">
            <v>OPERADOR LOGÍSTICO</v>
          </cell>
          <cell r="AB30" t="str">
            <v>OPERADOR LOGÍSTICO</v>
          </cell>
          <cell r="AC30" t="str">
            <v>OPERADOR LOGÍSTICO</v>
          </cell>
          <cell r="AD30">
            <v>4198.8900000000003</v>
          </cell>
          <cell r="AE30">
            <v>797.78909999999996</v>
          </cell>
          <cell r="AF30">
            <v>4996.6791000000003</v>
          </cell>
          <cell r="AG30">
            <v>4198.8900000000003</v>
          </cell>
          <cell r="AH30">
            <v>4996.6791000000003</v>
          </cell>
          <cell r="AI30" t="str">
            <v>OPERADOR LOGÍSTICO</v>
          </cell>
          <cell r="AJ30" t="str">
            <v>OPERADOR LOGÍSTICO</v>
          </cell>
          <cell r="AK30" t="str">
            <v>OPERADOR LOGÍSTICO</v>
          </cell>
          <cell r="AL30" t="str">
            <v>OPERADOR LOGÍSTICO</v>
          </cell>
          <cell r="AM30" t="str">
            <v>COMERCIALIZADORA PROVENSA</v>
          </cell>
          <cell r="AN30" t="str">
            <v>OPERADOR LOGÍSTICO</v>
          </cell>
          <cell r="AO30" t="str">
            <v>OPERADOR LOGÍSTICO</v>
          </cell>
          <cell r="AP30" t="str">
            <v>OPERADOR LOGÍSTICO</v>
          </cell>
          <cell r="AQ30">
            <v>4033.61</v>
          </cell>
          <cell r="AR30">
            <v>766.39</v>
          </cell>
          <cell r="AS30">
            <v>4800</v>
          </cell>
          <cell r="AT30">
            <v>4034</v>
          </cell>
          <cell r="AU30">
            <v>4800</v>
          </cell>
          <cell r="AV30">
            <v>5026</v>
          </cell>
          <cell r="AW30">
            <v>5026</v>
          </cell>
          <cell r="AX30" t="str">
            <v/>
          </cell>
          <cell r="AY30" t="e">
            <v>#VALUE!</v>
          </cell>
        </row>
        <row r="31">
          <cell r="D31" t="str">
            <v>Alquiler manteles 2x2 pvc</v>
          </cell>
          <cell r="E31" t="str">
            <v xml:space="preserve">ALQUILER MANTELES DE COLOR BLANCO CON TAPA DE 2X2 EN PVC DRECRON POLIESTER CON REFUERZO EN TELA NO TEJIDA DE 25GR. PARA MESA RECTANGULAR. POR EVENTO O DÍA, INCLUYE TRANSPORTE, </v>
          </cell>
          <cell r="F31" t="str">
            <v>SERVICIO</v>
          </cell>
          <cell r="G31">
            <v>1</v>
          </cell>
          <cell r="Q31" t="str">
            <v> </v>
          </cell>
          <cell r="R31" t="str">
            <v> </v>
          </cell>
          <cell r="S31" t="str">
            <v> </v>
          </cell>
          <cell r="T31" t="str">
            <v> </v>
          </cell>
          <cell r="U31" t="str">
            <v> </v>
          </cell>
          <cell r="V31" t="str">
            <v>OPERADOR LOGÍSTICO</v>
          </cell>
          <cell r="W31" t="str">
            <v>OPERADOR LOGÍSTICO</v>
          </cell>
          <cell r="X31" t="str">
            <v>OPERADOR LOGÍSTICO</v>
          </cell>
          <cell r="Y31" t="str">
            <v>OPERADOR LOGÍSTICO</v>
          </cell>
          <cell r="Z31" t="str">
            <v>Estimación de precios con base en el proceso FDLSUBA-LP-013-2025 (140689) – Contrato 1000 – 2025, indexando el incremento de precios en el mercado con base en el Índice de Precios al Consumidor (IPC) para el mes de marzo de 2026, el cual fue de 5,56%.</v>
          </cell>
          <cell r="AA31" t="str">
            <v>OPERADOR LOGÍSTICO</v>
          </cell>
          <cell r="AB31" t="str">
            <v>OPERADOR LOGÍSTICO</v>
          </cell>
          <cell r="AC31" t="str">
            <v>OPERADOR LOGÍSTICO</v>
          </cell>
          <cell r="AD31" t="str">
            <v>OPERADOR LOGÍSTICO</v>
          </cell>
          <cell r="AE31" t="str">
            <v>OPERADOR LOGÍSTICO</v>
          </cell>
          <cell r="AF31">
            <v>22338.65546218487</v>
          </cell>
          <cell r="AG31">
            <v>4244.3445378151264</v>
          </cell>
          <cell r="AH31">
            <v>26583</v>
          </cell>
          <cell r="AI31" t="str">
            <v>OPERADOR LOGÍSTICO</v>
          </cell>
          <cell r="AJ31" t="str">
            <v>OPERADOR LOGÍSTICO</v>
          </cell>
          <cell r="AK31" t="str">
            <v>OPERADOR LOGÍSTICO</v>
          </cell>
          <cell r="AL31" t="str">
            <v>OPERADOR LOGÍSTICO</v>
          </cell>
          <cell r="AM31" t="str">
            <v>FUNCAS</v>
          </cell>
          <cell r="AN31" t="str">
            <v>OPERADOR LOGÍSTICO</v>
          </cell>
          <cell r="AO31" t="str">
            <v>OPERADOR LOGÍSTICO</v>
          </cell>
          <cell r="AP31" t="str">
            <v>OPERADOR LOGÍSTICO</v>
          </cell>
          <cell r="AQ31">
            <v>22009</v>
          </cell>
          <cell r="AR31">
            <v>4182</v>
          </cell>
          <cell r="AS31">
            <v>26191</v>
          </cell>
          <cell r="AT31">
            <v>22009</v>
          </cell>
          <cell r="AU31">
            <v>26191</v>
          </cell>
          <cell r="AV31">
            <v>24265</v>
          </cell>
          <cell r="AW31">
            <v>24265</v>
          </cell>
          <cell r="AX31" t="str">
            <v/>
          </cell>
          <cell r="AY31">
            <v>1.0500000000000001E-2</v>
          </cell>
        </row>
        <row r="32">
          <cell r="D32" t="str">
            <v>Alquiler MEC</v>
          </cell>
          <cell r="E32" t="str">
            <v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v>
          </cell>
          <cell r="F32" t="str">
            <v>SERVICIO</v>
          </cell>
          <cell r="G32">
            <v>1</v>
          </cell>
          <cell r="Q32" t="str">
            <v> </v>
          </cell>
          <cell r="R32" t="str">
            <v> </v>
          </cell>
          <cell r="S32" t="str">
            <v> </v>
          </cell>
          <cell r="T32" t="str">
            <v> </v>
          </cell>
          <cell r="U32" t="str">
            <v> </v>
          </cell>
          <cell r="V32" t="str">
            <v>OPERADOR LOGÍSTICO</v>
          </cell>
          <cell r="W32" t="str">
            <v>OPERADOR LOGÍSTICO</v>
          </cell>
          <cell r="X32" t="str">
            <v>OPERADOR LOGÍSTICO</v>
          </cell>
          <cell r="Y32" t="str">
            <v>OPERADOR LOGÍSTICO</v>
          </cell>
          <cell r="Z32" t="str">
            <v>Estimación de precios con base en el proceso FDLSUBA-LP-013-2025 (140689) – Contrato 1000 – 2025, indexando el incremento de precios en el mercado con base en el Índice de Precios al Consumidor (IPC) para el mes de marzo de 2026, el cual fue de 5,56%.</v>
          </cell>
          <cell r="AA32" t="str">
            <v>OPERADOR LOGÍSTICO</v>
          </cell>
          <cell r="AB32" t="str">
            <v>OPERADOR LOGÍSTICO</v>
          </cell>
          <cell r="AC32" t="str">
            <v>OPERADOR LOGÍSTICO</v>
          </cell>
          <cell r="AD32" t="str">
            <v>OPERADOR LOGÍSTICO</v>
          </cell>
          <cell r="AE32" t="str">
            <v>OPERADOR LOGÍSTICO</v>
          </cell>
          <cell r="AF32">
            <v>2252537.8151260498</v>
          </cell>
          <cell r="AG32">
            <v>427982.18487394962</v>
          </cell>
          <cell r="AH32">
            <v>2680520</v>
          </cell>
          <cell r="AI32" t="str">
            <v>OPERADOR LOGÍSTICO</v>
          </cell>
          <cell r="AJ32" t="str">
            <v>OPERADOR LOGÍSTICO</v>
          </cell>
          <cell r="AK32" t="str">
            <v>OPERADOR LOGÍSTICO</v>
          </cell>
          <cell r="AL32" t="str">
            <v>OPERADOR LOGÍSTICO</v>
          </cell>
          <cell r="AM32" t="str">
            <v>FUNCAS</v>
          </cell>
          <cell r="AN32" t="str">
            <v>OPERADOR LOGÍSTICO</v>
          </cell>
          <cell r="AO32" t="str">
            <v>OPERADOR LOGÍSTICO</v>
          </cell>
          <cell r="AP32" t="str">
            <v>OPERADOR LOGÍSTICO</v>
          </cell>
          <cell r="AQ32">
            <v>2240588</v>
          </cell>
          <cell r="AR32">
            <v>425712</v>
          </cell>
          <cell r="AS32">
            <v>2666300</v>
          </cell>
          <cell r="AT32">
            <v>2240588</v>
          </cell>
          <cell r="AU32">
            <v>2666300</v>
          </cell>
          <cell r="AV32">
            <v>2459419</v>
          </cell>
          <cell r="AW32">
            <v>2459419</v>
          </cell>
          <cell r="AX32" t="str">
            <v/>
          </cell>
          <cell r="AY32">
            <v>3.8E-3</v>
          </cell>
        </row>
        <row r="33">
          <cell r="D33" t="str">
            <v>Alquiler metro de extensión 10 bombillos</v>
          </cell>
          <cell r="E33" t="str">
            <v xml:space="preserve">ALQUILER METRO LINEAL DE EXTENSIÓN DE 10 BOMBILLOS LED TIPO PING PONG 3W ENTRE CADA UNO PARA EXTERIORES CON INSTALACIÓN Y DESINSTALACIÓN INCLUIDA.(SERVICIO POR EVENTO DE 4 A 6 HORAS) </v>
          </cell>
          <cell r="F33" t="str">
            <v>SERVICIO</v>
          </cell>
          <cell r="G33">
            <v>1</v>
          </cell>
          <cell r="Q33" t="str">
            <v> </v>
          </cell>
          <cell r="R33" t="str">
            <v> </v>
          </cell>
          <cell r="S33" t="str">
            <v> </v>
          </cell>
          <cell r="T33" t="str">
            <v> </v>
          </cell>
          <cell r="U33" t="str">
            <v> </v>
          </cell>
          <cell r="V33" t="str">
            <v>OPERADOR LOGÍSTICO</v>
          </cell>
          <cell r="W33" t="str">
            <v>OPERADOR LOGÍSTICO</v>
          </cell>
          <cell r="X33" t="str">
            <v>OPERADOR LOGÍSTICO</v>
          </cell>
          <cell r="Y33" t="str">
            <v>OPERADOR LOGÍSTICO</v>
          </cell>
          <cell r="Z33" t="str">
            <v>Estimación de precios con base en el proceso FDLSUBA-LP-013-2025 (140689) – Contrato 1000 – 2025, indexando el incremento de precios en el mercado con base en el Índice de Precios al Consumidor (IPC) para el mes de marzo de 2026, el cual fue de 5,56%.</v>
          </cell>
          <cell r="AA33" t="str">
            <v>OPERADOR LOGÍSTICO</v>
          </cell>
          <cell r="AB33" t="str">
            <v>OPERADOR LOGÍSTICO</v>
          </cell>
          <cell r="AC33" t="str">
            <v>OPERADOR LOGÍSTICO</v>
          </cell>
          <cell r="AD33" t="str">
            <v>OPERADOR LOGÍSTICO</v>
          </cell>
          <cell r="AE33" t="str">
            <v>OPERADOR LOGÍSTICO</v>
          </cell>
          <cell r="AF33">
            <v>111281.51260504199</v>
          </cell>
          <cell r="AG33">
            <v>21143.487394957981</v>
          </cell>
          <cell r="AH33">
            <v>132425</v>
          </cell>
          <cell r="AI33" t="str">
            <v>OPERADOR LOGÍSTICO</v>
          </cell>
          <cell r="AJ33" t="str">
            <v>OPERADOR LOGÍSTICO</v>
          </cell>
          <cell r="AK33" t="str">
            <v>OPERADOR LOGÍSTICO</v>
          </cell>
          <cell r="AL33" t="str">
            <v>OPERADOR LOGÍSTICO</v>
          </cell>
          <cell r="AM33" t="str">
            <v>FUNCAS</v>
          </cell>
          <cell r="AN33" t="str">
            <v>OPERADOR LOGÍSTICO</v>
          </cell>
          <cell r="AO33" t="str">
            <v>OPERADOR LOGÍSTICO</v>
          </cell>
          <cell r="AP33" t="str">
            <v>OPERADOR LOGÍSTICO</v>
          </cell>
          <cell r="AQ33">
            <v>107529</v>
          </cell>
          <cell r="AR33">
            <v>20430</v>
          </cell>
          <cell r="AS33">
            <v>127959</v>
          </cell>
          <cell r="AT33">
            <v>107529</v>
          </cell>
          <cell r="AU33">
            <v>127959</v>
          </cell>
          <cell r="AV33">
            <v>119620</v>
          </cell>
          <cell r="AW33">
            <v>119620</v>
          </cell>
          <cell r="AX33" t="str">
            <v/>
          </cell>
          <cell r="AY33">
            <v>2.4299999999999999E-2</v>
          </cell>
        </row>
        <row r="34">
          <cell r="D34" t="str">
            <v>Alquiler metro de extensión 15 bombillos</v>
          </cell>
          <cell r="E34" t="str">
            <v xml:space="preserve">ALQUILER METRO LINEAL DE EXTENSIÓN DE 15 BOMBILLOS LED TIPO PING PONG 3W ENTRE CADA UNO PARA EXTERIORES CON INSTALACIÓN Y DESINSTALACIÓN INCLUIDA.(SERVICIO POR EVENTO DE 4 A 6 HORAS) </v>
          </cell>
          <cell r="F34" t="str">
            <v>SERVICIO</v>
          </cell>
          <cell r="G34">
            <v>1</v>
          </cell>
          <cell r="Q34" t="str">
            <v> </v>
          </cell>
          <cell r="R34" t="str">
            <v> </v>
          </cell>
          <cell r="S34" t="str">
            <v> </v>
          </cell>
          <cell r="T34" t="str">
            <v> </v>
          </cell>
          <cell r="U34" t="str">
            <v> </v>
          </cell>
          <cell r="V34" t="str">
            <v>OPERADOR LOGÍSTICO</v>
          </cell>
          <cell r="W34" t="str">
            <v>OPERADOR LOGÍSTICO</v>
          </cell>
          <cell r="X34" t="str">
            <v>OPERADOR LOGÍSTICO</v>
          </cell>
          <cell r="Y34" t="str">
            <v>OPERADOR LOGÍSTICO</v>
          </cell>
          <cell r="Z34" t="str">
            <v>Estimación de precios con base en el proceso FDLSUBA-LP-013-2025 (140689) – Contrato 1000 – 2025, indexando el incremento de precios en el mercado con base en el Índice de Precios al Consumidor (IPC) para el mes de marzo de 2026, el cual fue de 5,56%.</v>
          </cell>
          <cell r="AA34" t="str">
            <v>OPERADOR LOGÍSTICO</v>
          </cell>
          <cell r="AB34" t="str">
            <v>OPERADOR LOGÍSTICO</v>
          </cell>
          <cell r="AC34" t="str">
            <v>OPERADOR LOGÍSTICO</v>
          </cell>
          <cell r="AD34" t="str">
            <v>OPERADOR LOGÍSTICO</v>
          </cell>
          <cell r="AE34" t="str">
            <v>OPERADOR LOGÍSTICO</v>
          </cell>
          <cell r="AF34">
            <v>255826.89075630251</v>
          </cell>
          <cell r="AG34">
            <v>48607.109243697487</v>
          </cell>
          <cell r="AH34">
            <v>304434</v>
          </cell>
          <cell r="AI34" t="str">
            <v>OPERADOR LOGÍSTICO</v>
          </cell>
          <cell r="AJ34" t="str">
            <v>OPERADOR LOGÍSTICO</v>
          </cell>
          <cell r="AK34" t="str">
            <v>OPERADOR LOGÍSTICO</v>
          </cell>
          <cell r="AL34" t="str">
            <v>OPERADOR LOGÍSTICO</v>
          </cell>
          <cell r="AM34" t="str">
            <v>FUNCAS</v>
          </cell>
          <cell r="AN34" t="str">
            <v>OPERADOR LOGÍSTICO</v>
          </cell>
          <cell r="AO34" t="str">
            <v>OPERADOR LOGÍSTICO</v>
          </cell>
          <cell r="AP34" t="str">
            <v>OPERADOR LOGÍSTICO</v>
          </cell>
          <cell r="AQ34">
            <v>247199</v>
          </cell>
          <cell r="AR34">
            <v>46968</v>
          </cell>
          <cell r="AS34">
            <v>294167</v>
          </cell>
          <cell r="AT34">
            <v>247199</v>
          </cell>
          <cell r="AU34">
            <v>294167</v>
          </cell>
          <cell r="AV34">
            <v>274997</v>
          </cell>
          <cell r="AW34">
            <v>274997</v>
          </cell>
          <cell r="AX34" t="str">
            <v/>
          </cell>
          <cell r="AY34">
            <v>2.4299999999999999E-2</v>
          </cell>
        </row>
        <row r="35">
          <cell r="D35" t="str">
            <v>Alquiler metro de extensión 20 bombillos</v>
          </cell>
          <cell r="E35" t="str">
            <v xml:space="preserve">ALQUILER METRO LINEAL DE EXTENSIÓN DE 20 BOMBILLOS LED TIPO PING PONG 3W ENTRE CADA UNO PARA EXTERIORES CON INSTALACIÓN Y DESINSTALACIÓN INCLUIDA.(SERVICIO POR EVENTO DE 4 A 6 HORAS) </v>
          </cell>
          <cell r="F35" t="str">
            <v>SERVICIO</v>
          </cell>
          <cell r="G35">
            <v>1</v>
          </cell>
          <cell r="Q35" t="str">
            <v> </v>
          </cell>
          <cell r="R35" t="str">
            <v> </v>
          </cell>
          <cell r="S35" t="str">
            <v> </v>
          </cell>
          <cell r="T35" t="str">
            <v> </v>
          </cell>
          <cell r="U35" t="str">
            <v> </v>
          </cell>
          <cell r="V35" t="str">
            <v>OPERADOR LOGÍSTICO</v>
          </cell>
          <cell r="W35" t="str">
            <v>OPERADOR LOGÍSTICO</v>
          </cell>
          <cell r="X35" t="str">
            <v>OPERADOR LOGÍSTICO</v>
          </cell>
          <cell r="Y35" t="str">
            <v>OPERADOR LOGÍSTICO</v>
          </cell>
          <cell r="Z35" t="str">
            <v>Estimación de precios con base en el proceso FDLSUBA-LP-013-2025 (140689) – Contrato 1000 – 2025, indexando el incremento de precios en el mercado con base en el Índice de Precios al Consumidor (IPC) para el mes de marzo de 2026, el cual fue de 5,56%.</v>
          </cell>
          <cell r="AA35" t="str">
            <v>OPERADOR LOGÍSTICO</v>
          </cell>
          <cell r="AB35" t="str">
            <v>OPERADOR LOGÍSTICO</v>
          </cell>
          <cell r="AC35" t="str">
            <v>OPERADOR LOGÍSTICO</v>
          </cell>
          <cell r="AD35" t="str">
            <v>OPERADOR LOGÍSTICO</v>
          </cell>
          <cell r="AE35" t="str">
            <v>OPERADOR LOGÍSTICO</v>
          </cell>
          <cell r="AF35">
            <v>305235.29411764699</v>
          </cell>
          <cell r="AG35">
            <v>57994.705882352937</v>
          </cell>
          <cell r="AH35">
            <v>363230</v>
          </cell>
          <cell r="AI35" t="str">
            <v>OPERADOR LOGÍSTICO</v>
          </cell>
          <cell r="AJ35" t="str">
            <v>OPERADOR LOGÍSTICO</v>
          </cell>
          <cell r="AK35" t="str">
            <v>OPERADOR LOGÍSTICO</v>
          </cell>
          <cell r="AL35" t="str">
            <v>OPERADOR LOGÍSTICO</v>
          </cell>
          <cell r="AM35" t="str">
            <v>FUNCAS</v>
          </cell>
          <cell r="AN35" t="str">
            <v>OPERADOR LOGÍSTICO</v>
          </cell>
          <cell r="AO35" t="str">
            <v>OPERADOR LOGÍSTICO</v>
          </cell>
          <cell r="AP35" t="str">
            <v>OPERADOR LOGÍSTICO</v>
          </cell>
          <cell r="AQ35">
            <v>294942</v>
          </cell>
          <cell r="AR35">
            <v>56039</v>
          </cell>
          <cell r="AS35">
            <v>350980</v>
          </cell>
          <cell r="AT35">
            <v>294942</v>
          </cell>
          <cell r="AU35">
            <v>350980</v>
          </cell>
          <cell r="AV35">
            <v>328108</v>
          </cell>
          <cell r="AW35">
            <v>328108</v>
          </cell>
          <cell r="AX35" t="str">
            <v/>
          </cell>
          <cell r="AY35">
            <v>2.4299999999999999E-2</v>
          </cell>
        </row>
        <row r="36">
          <cell r="D36" t="str">
            <v>Alquiler metro de extensión</v>
          </cell>
          <cell r="E36" t="str">
            <v xml:space="preserve">ALQUILER METRO LINEAL DE EXTENSIÓN DE 10 BOMBILLOS LED TIPO PING PONG 3W ENTRE CADA UNO PARA INTERIORES CON INSTALACIÓN Y DESINSTALACIÓN INCLUIDA.(SERVICIO POR EVENTO DE 4 A 6 HORAS) </v>
          </cell>
          <cell r="F36" t="str">
            <v>SERVICIO</v>
          </cell>
          <cell r="G36">
            <v>1</v>
          </cell>
          <cell r="Q36" t="str">
            <v> </v>
          </cell>
          <cell r="R36" t="str">
            <v> </v>
          </cell>
          <cell r="S36" t="str">
            <v> </v>
          </cell>
          <cell r="T36" t="str">
            <v> </v>
          </cell>
          <cell r="U36" t="str">
            <v> </v>
          </cell>
          <cell r="V36" t="str">
            <v>OPERADOR LOGÍSTICO</v>
          </cell>
          <cell r="W36" t="str">
            <v>OPERADOR LOGÍSTICO</v>
          </cell>
          <cell r="X36" t="str">
            <v>OPERADOR LOGÍSTICO</v>
          </cell>
          <cell r="Y36" t="str">
            <v>OPERADOR LOGÍSTICO</v>
          </cell>
          <cell r="Z36" t="str">
            <v>Estimación de precios con base en el proceso FDLSUBA-LP-013-2025 (140689) – Contrato 1000 – 2025, indexando el incremento de precios en el mercado con base en el Índice de Precios al Consumidor (IPC) para el mes de marzo de 2026, el cual fue de 5,56%.</v>
          </cell>
          <cell r="AA36" t="str">
            <v>OPERADOR LOGÍSTICO</v>
          </cell>
          <cell r="AB36" t="str">
            <v>OPERADOR LOGÍSTICO</v>
          </cell>
          <cell r="AC36" t="str">
            <v>OPERADOR LOGÍSTICO</v>
          </cell>
          <cell r="AD36" t="str">
            <v>OPERADOR LOGÍSTICO</v>
          </cell>
          <cell r="AE36" t="str">
            <v>OPERADOR LOGÍSTICO</v>
          </cell>
          <cell r="AF36">
            <v>121837.81512605039</v>
          </cell>
          <cell r="AG36">
            <v>23149.18487394958</v>
          </cell>
          <cell r="AH36">
            <v>144987</v>
          </cell>
          <cell r="AI36" t="str">
            <v>OPERADOR LOGÍSTICO</v>
          </cell>
          <cell r="AJ36" t="str">
            <v>OPERADOR LOGÍSTICO</v>
          </cell>
          <cell r="AK36" t="str">
            <v>OPERADOR LOGÍSTICO</v>
          </cell>
          <cell r="AL36" t="str">
            <v>OPERADOR LOGÍSTICO</v>
          </cell>
          <cell r="AM36" t="str">
            <v>FUNCAS</v>
          </cell>
          <cell r="AN36" t="str">
            <v>OPERADOR LOGÍSTICO</v>
          </cell>
          <cell r="AO36" t="str">
            <v>OPERADOR LOGÍSTICO</v>
          </cell>
          <cell r="AP36" t="str">
            <v>OPERADOR LOGÍSTICO</v>
          </cell>
          <cell r="AQ36">
            <v>117729</v>
          </cell>
          <cell r="AR36">
            <v>22368</v>
          </cell>
          <cell r="AS36">
            <v>140097</v>
          </cell>
          <cell r="AT36">
            <v>117729</v>
          </cell>
          <cell r="AU36">
            <v>140097</v>
          </cell>
          <cell r="AV36">
            <v>130967</v>
          </cell>
          <cell r="AW36">
            <v>130967</v>
          </cell>
          <cell r="AX36" t="str">
            <v/>
          </cell>
          <cell r="AY36">
            <v>2.4299999999999999E-2</v>
          </cell>
        </row>
        <row r="37">
          <cell r="D37" t="str">
            <v>Alquiler metro de extensión</v>
          </cell>
          <cell r="E37" t="str">
            <v xml:space="preserve">ALQUILER METRO LINEAL DE EXTENSIÓN DE 15 BOMBILLOS LED TIPO PING PONG 3W ENTRE CADA UNO PARA INTERIORES CON INSTALACIÓN Y DESINSTALACIÓN INCLUIDA. (SERVICIO POR EVENTO DE 4 A 6 HORAS) </v>
          </cell>
          <cell r="F37" t="str">
            <v>SERVICIO</v>
          </cell>
          <cell r="G37">
            <v>1</v>
          </cell>
          <cell r="Q37" t="str">
            <v> </v>
          </cell>
          <cell r="R37" t="str">
            <v> </v>
          </cell>
          <cell r="S37" t="str">
            <v> </v>
          </cell>
          <cell r="T37" t="str">
            <v> </v>
          </cell>
          <cell r="U37" t="str">
            <v> </v>
          </cell>
          <cell r="V37" t="str">
            <v>OPERADOR LOGÍSTICO</v>
          </cell>
          <cell r="W37" t="str">
            <v>OPERADOR LOGÍSTICO</v>
          </cell>
          <cell r="X37" t="str">
            <v>OPERADOR LOGÍSTICO</v>
          </cell>
          <cell r="Y37" t="str">
            <v>OPERADOR LOGÍSTICO</v>
          </cell>
          <cell r="Z37" t="str">
            <v>Estimación de precios con base en el proceso FDLSUBA-LP-013-2025 (140689) – Contrato 1000 – 2025, indexando el incremento de precios en el mercado con base en el Índice de Precios al Consumidor (IPC) para el mes de marzo de 2026, el cual fue de 5,56%.</v>
          </cell>
          <cell r="AA37" t="str">
            <v>OPERADOR LOGÍSTICO</v>
          </cell>
          <cell r="AB37" t="str">
            <v>OPERADOR LOGÍSTICO</v>
          </cell>
          <cell r="AC37" t="str">
            <v>OPERADOR LOGÍSTICO</v>
          </cell>
          <cell r="AD37" t="str">
            <v>OPERADOR LOGÍSTICO</v>
          </cell>
          <cell r="AE37" t="str">
            <v>OPERADOR LOGÍSTICO</v>
          </cell>
          <cell r="AF37">
            <v>258664.70588235301</v>
          </cell>
          <cell r="AG37">
            <v>49146.294117647063</v>
          </cell>
          <cell r="AH37">
            <v>307811</v>
          </cell>
          <cell r="AI37" t="str">
            <v>OPERADOR LOGÍSTICO</v>
          </cell>
          <cell r="AJ37" t="str">
            <v>OPERADOR LOGÍSTICO</v>
          </cell>
          <cell r="AK37" t="str">
            <v>OPERADOR LOGÍSTICO</v>
          </cell>
          <cell r="AL37" t="str">
            <v>OPERADOR LOGÍSTICO</v>
          </cell>
          <cell r="AM37" t="str">
            <v>FUNCAS</v>
          </cell>
          <cell r="AN37" t="str">
            <v>OPERADOR LOGÍSTICO</v>
          </cell>
          <cell r="AO37" t="str">
            <v>OPERADOR LOGÍSTICO</v>
          </cell>
          <cell r="AP37" t="str">
            <v>OPERADOR LOGÍSTICO</v>
          </cell>
          <cell r="AQ37">
            <v>249942</v>
          </cell>
          <cell r="AR37">
            <v>47489</v>
          </cell>
          <cell r="AS37">
            <v>297430</v>
          </cell>
          <cell r="AT37">
            <v>249942</v>
          </cell>
          <cell r="AU37">
            <v>297430</v>
          </cell>
          <cell r="AV37">
            <v>278047</v>
          </cell>
          <cell r="AW37">
            <v>278047</v>
          </cell>
          <cell r="AX37" t="str">
            <v/>
          </cell>
          <cell r="AY37">
            <v>2.4299999999999999E-2</v>
          </cell>
        </row>
        <row r="38">
          <cell r="D38" t="str">
            <v>Alquiler metro de extensión</v>
          </cell>
          <cell r="E38" t="str">
            <v xml:space="preserve">ALQUILER METRO LINEAL DE EXTENSIÓN DE 20 BOMBILLOS LED TIPO PING PONG 3W ENTRE CADA UNO PARA INTERIORES CON INSTALACIÓN Y DESINSTALACIÓN INCLUIDA.  (SERVICIO POR EVENTO DE 4 A 6 HORAS) </v>
          </cell>
          <cell r="F38" t="str">
            <v>SERVICIO</v>
          </cell>
          <cell r="G38">
            <v>1</v>
          </cell>
          <cell r="Q38" t="str">
            <v> </v>
          </cell>
          <cell r="R38" t="str">
            <v> </v>
          </cell>
          <cell r="S38" t="str">
            <v> </v>
          </cell>
          <cell r="T38" t="str">
            <v> </v>
          </cell>
          <cell r="U38" t="str">
            <v> </v>
          </cell>
          <cell r="V38" t="str">
            <v>OPERADOR LOGÍSTICO</v>
          </cell>
          <cell r="W38" t="str">
            <v>OPERADOR LOGÍSTICO</v>
          </cell>
          <cell r="X38" t="str">
            <v>OPERADOR LOGÍSTICO</v>
          </cell>
          <cell r="Y38" t="str">
            <v>OPERADOR LOGÍSTICO</v>
          </cell>
          <cell r="Z38" t="str">
            <v>Estimación de precios con base en el proceso FDLSUBA-LP-013-2025 (140689) – Contrato 1000 – 2025, indexando el incremento de precios en el mercado con base en el Índice de Precios al Consumidor (IPC) para el mes de marzo de 2026, el cual fue de 5,56%.</v>
          </cell>
          <cell r="AA38" t="str">
            <v>OPERADOR LOGÍSTICO</v>
          </cell>
          <cell r="AB38" t="str">
            <v>OPERADOR LOGÍSTICO</v>
          </cell>
          <cell r="AC38" t="str">
            <v>OPERADOR LOGÍSTICO</v>
          </cell>
          <cell r="AD38" t="str">
            <v>OPERADOR LOGÍSTICO</v>
          </cell>
          <cell r="AE38" t="str">
            <v>OPERADOR LOGÍSTICO</v>
          </cell>
          <cell r="AF38">
            <v>305235.29411764699</v>
          </cell>
          <cell r="AG38">
            <v>57994.705882352937</v>
          </cell>
          <cell r="AH38">
            <v>363230</v>
          </cell>
          <cell r="AI38" t="str">
            <v>OPERADOR LOGÍSTICO</v>
          </cell>
          <cell r="AJ38" t="str">
            <v>OPERADOR LOGÍSTICO</v>
          </cell>
          <cell r="AK38" t="str">
            <v>OPERADOR LOGÍSTICO</v>
          </cell>
          <cell r="AL38" t="str">
            <v>OPERADOR LOGÍSTICO</v>
          </cell>
          <cell r="AM38" t="str">
            <v>FUNCAS</v>
          </cell>
          <cell r="AN38" t="str">
            <v>OPERADOR LOGÍSTICO</v>
          </cell>
          <cell r="AO38" t="str">
            <v>OPERADOR LOGÍSTICO</v>
          </cell>
          <cell r="AP38" t="str">
            <v>OPERADOR LOGÍSTICO</v>
          </cell>
          <cell r="AQ38">
            <v>294942</v>
          </cell>
          <cell r="AR38">
            <v>56039</v>
          </cell>
          <cell r="AS38">
            <v>350980</v>
          </cell>
          <cell r="AT38">
            <v>294942</v>
          </cell>
          <cell r="AU38">
            <v>350980</v>
          </cell>
          <cell r="AV38">
            <v>328108</v>
          </cell>
          <cell r="AW38">
            <v>328108</v>
          </cell>
          <cell r="AX38" t="str">
            <v/>
          </cell>
          <cell r="AY38">
            <v>2.4299999999999999E-2</v>
          </cell>
        </row>
        <row r="39">
          <cell r="D39" t="str">
            <v>Alquiler pantalla</v>
          </cell>
          <cell r="E39" t="str">
            <v>ALQUILER DE PANTALLA LED
DE 48 A 65 PULGADAS O TELEVISOR SMART TV CON ESTRUCTURA, CABLEADO NECESARIO, TRANSPORTE, INSTALACIÓN, DESINSTALACIÓN Y OPERARIO. (JORNADA 4 HORAS)</v>
          </cell>
          <cell r="F39" t="str">
            <v>SERVICIO</v>
          </cell>
          <cell r="G39">
            <v>1</v>
          </cell>
          <cell r="Q39" t="str">
            <v> </v>
          </cell>
          <cell r="R39" t="str">
            <v> </v>
          </cell>
          <cell r="S39" t="str">
            <v> </v>
          </cell>
          <cell r="T39" t="str">
            <v> </v>
          </cell>
          <cell r="U39" t="str">
            <v> </v>
          </cell>
          <cell r="V39" t="str">
            <v>OPERADOR LOGÍSTICO</v>
          </cell>
          <cell r="W39" t="str">
            <v>OPERADOR LOGÍSTICO</v>
          </cell>
          <cell r="X39" t="str">
            <v>OPERADOR LOGÍSTICO</v>
          </cell>
          <cell r="Y39" t="str">
            <v>OPERADOR LOGÍSTICO</v>
          </cell>
          <cell r="Z39" t="str">
            <v>Estimación de precios con base en el proceso FDLSUBA-LP-013-2025 (140689) – Contrato 1000 – 2025, indexando el incremento de precios en el mercado con base en el Índice de Precios al Consumidor (IPC) para el mes de marzo de 2026, el cual fue de 5,56%.</v>
          </cell>
          <cell r="AA39" t="str">
            <v>OPERADOR LOGÍSTICO</v>
          </cell>
          <cell r="AB39" t="str">
            <v>OPERADOR LOGÍSTICO</v>
          </cell>
          <cell r="AC39" t="str">
            <v>OPERADOR LOGÍSTICO</v>
          </cell>
          <cell r="AD39" t="str">
            <v>OPERADOR LOGÍSTICO</v>
          </cell>
          <cell r="AE39" t="str">
            <v>OPERADOR LOGÍSTICO</v>
          </cell>
          <cell r="AF39">
            <v>809750.42016806721</v>
          </cell>
          <cell r="AG39">
            <v>153852.57983193279</v>
          </cell>
          <cell r="AH39">
            <v>963603</v>
          </cell>
          <cell r="AI39" t="str">
            <v>OPERADOR LOGÍSTICO</v>
          </cell>
          <cell r="AJ39" t="str">
            <v>OPERADOR LOGÍSTICO</v>
          </cell>
          <cell r="AK39" t="str">
            <v>OPERADOR LOGÍSTICO</v>
          </cell>
          <cell r="AL39" t="str">
            <v>OPERADOR LOGÍSTICO</v>
          </cell>
          <cell r="AM39" t="str">
            <v>FUNCAS</v>
          </cell>
          <cell r="AN39" t="str">
            <v>OPERADOR LOGÍSTICO</v>
          </cell>
          <cell r="AO39" t="str">
            <v>OPERADOR LOGÍSTICO</v>
          </cell>
          <cell r="AP39" t="str">
            <v>OPERADOR LOGÍSTICO</v>
          </cell>
          <cell r="AQ39">
            <v>805455</v>
          </cell>
          <cell r="AR39">
            <v>153036</v>
          </cell>
          <cell r="AS39">
            <v>958491</v>
          </cell>
          <cell r="AT39">
            <v>805455</v>
          </cell>
          <cell r="AU39">
            <v>958491</v>
          </cell>
          <cell r="AV39">
            <v>884121</v>
          </cell>
          <cell r="AW39">
            <v>884121</v>
          </cell>
          <cell r="AX39" t="str">
            <v/>
          </cell>
          <cell r="AY39">
            <v>3.8E-3</v>
          </cell>
        </row>
        <row r="40">
          <cell r="D40" t="str">
            <v>Alquiler pantalla gigante</v>
          </cell>
          <cell r="E40" t="str">
            <v>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v>
          </cell>
          <cell r="F40" t="str">
            <v>SERVICIO</v>
          </cell>
          <cell r="G40">
            <v>1</v>
          </cell>
          <cell r="Q40" t="str">
            <v> </v>
          </cell>
          <cell r="R40" t="str">
            <v> </v>
          </cell>
          <cell r="S40" t="str">
            <v> </v>
          </cell>
          <cell r="T40" t="str">
            <v> </v>
          </cell>
          <cell r="U40" t="str">
            <v> </v>
          </cell>
          <cell r="V40" t="str">
            <v>OPERADOR LOGÍSTICO</v>
          </cell>
          <cell r="W40" t="str">
            <v>OPERADOR LOGÍSTICO</v>
          </cell>
          <cell r="X40" t="str">
            <v>OPERADOR LOGÍSTICO</v>
          </cell>
          <cell r="Y40" t="str">
            <v>OPERADOR LOGÍSTICO</v>
          </cell>
          <cell r="Z40" t="str">
            <v>Estimación de precios con base en el proceso FDLSUBA-LP-013-2025 (140689) – Contrato 1000 – 2025, indexando el incremento de precios en el mercado con base en el Índice de Precios al Consumidor (IPC) para el mes de marzo de 2026, el cual fue de 5,56%.</v>
          </cell>
          <cell r="AA40" t="str">
            <v>OPERADOR LOGÍSTICO</v>
          </cell>
          <cell r="AB40" t="str">
            <v>OPERADOR LOGÍSTICO</v>
          </cell>
          <cell r="AC40" t="str">
            <v>OPERADOR LOGÍSTICO</v>
          </cell>
          <cell r="AD40" t="str">
            <v>OPERADOR LOGÍSTICO</v>
          </cell>
          <cell r="AE40" t="str">
            <v>OPERADOR LOGÍSTICO</v>
          </cell>
          <cell r="AF40">
            <v>3706663.0252100802</v>
          </cell>
          <cell r="AG40">
            <v>704265.97478991607</v>
          </cell>
          <cell r="AH40">
            <v>4410929</v>
          </cell>
          <cell r="AI40" t="str">
            <v>OPERADOR LOGÍSTICO</v>
          </cell>
          <cell r="AJ40" t="str">
            <v>OPERADOR LOGÍSTICO</v>
          </cell>
          <cell r="AK40" t="str">
            <v>OPERADOR LOGÍSTICO</v>
          </cell>
          <cell r="AL40" t="str">
            <v>OPERADOR LOGÍSTICO</v>
          </cell>
          <cell r="AM40" t="str">
            <v>FUNCAS</v>
          </cell>
          <cell r="AN40" t="str">
            <v>OPERADOR LOGÍSTICO</v>
          </cell>
          <cell r="AO40" t="str">
            <v>OPERADOR LOGÍSTICO</v>
          </cell>
          <cell r="AP40" t="str">
            <v>OPERADOR LOGÍSTICO</v>
          </cell>
          <cell r="AQ40">
            <v>3686999</v>
          </cell>
          <cell r="AR40">
            <v>700530</v>
          </cell>
          <cell r="AS40">
            <v>4387529</v>
          </cell>
          <cell r="AT40">
            <v>3686999</v>
          </cell>
          <cell r="AU40">
            <v>4387529</v>
          </cell>
          <cell r="AV40">
            <v>4047096</v>
          </cell>
          <cell r="AW40">
            <v>4047096</v>
          </cell>
          <cell r="AX40" t="str">
            <v/>
          </cell>
          <cell r="AY40">
            <v>3.8E-3</v>
          </cell>
        </row>
        <row r="41">
          <cell r="D41" t="str">
            <v>Alquiler pisacable</v>
          </cell>
          <cell r="E41" t="str">
            <v>ALQUILER PISACABLE ALTO TRÁFICO- METRO - DIA</v>
          </cell>
          <cell r="F41" t="str">
            <v>SERVICIO</v>
          </cell>
          <cell r="G41">
            <v>1</v>
          </cell>
          <cell r="Q41" t="str">
            <v> </v>
          </cell>
          <cell r="R41" t="str">
            <v> </v>
          </cell>
          <cell r="S41" t="str">
            <v> </v>
          </cell>
          <cell r="T41" t="str">
            <v> </v>
          </cell>
          <cell r="U41" t="str">
            <v> </v>
          </cell>
          <cell r="V41" t="str">
            <v>OPERADOR LOGÍSTICO</v>
          </cell>
          <cell r="W41" t="str">
            <v>OPERADOR LOGÍSTICO</v>
          </cell>
          <cell r="X41" t="str">
            <v>OPERADOR LOGÍSTICO</v>
          </cell>
          <cell r="Y41" t="str">
            <v>OPERADOR LOGÍSTICO</v>
          </cell>
          <cell r="Z41" t="str">
            <v>Estimación de precios con base en el proceso FDLSUBA-LP-013-2025 (140689) – Contrato 1000 – 2025, indexando el incremento de precios en el mercado con base en el Índice de Precios al Consumidor (IPC) para el mes de marzo de 2026, el cual fue de 5,56%.</v>
          </cell>
          <cell r="AA41" t="str">
            <v>OPERADOR LOGÍSTICO</v>
          </cell>
          <cell r="AB41" t="str">
            <v>OPERADOR LOGÍSTICO</v>
          </cell>
          <cell r="AC41" t="str">
            <v>OPERADOR LOGÍSTICO</v>
          </cell>
          <cell r="AD41" t="str">
            <v>OPERADOR LOGÍSTICO</v>
          </cell>
          <cell r="AE41" t="str">
            <v>OPERADOR LOGÍSTICO</v>
          </cell>
          <cell r="AF41">
            <v>53632.773109243702</v>
          </cell>
          <cell r="AG41">
            <v>10190.226890756299</v>
          </cell>
          <cell r="AH41">
            <v>63823</v>
          </cell>
          <cell r="AI41" t="str">
            <v>OPERADOR LOGÍSTICO</v>
          </cell>
          <cell r="AJ41" t="str">
            <v>OPERADOR LOGÍSTICO</v>
          </cell>
          <cell r="AK41" t="str">
            <v>OPERADOR LOGÍSTICO</v>
          </cell>
          <cell r="AL41" t="str">
            <v>OPERADOR LOGÍSTICO</v>
          </cell>
          <cell r="AM41" t="str">
            <v>FUNCAS</v>
          </cell>
          <cell r="AN41" t="str">
            <v>OPERADOR LOGÍSTICO</v>
          </cell>
          <cell r="AO41" t="str">
            <v>OPERADOR LOGÍSTICO</v>
          </cell>
          <cell r="AP41" t="str">
            <v>OPERADOR LOGÍSTICO</v>
          </cell>
          <cell r="AQ41">
            <v>53348</v>
          </cell>
          <cell r="AR41">
            <v>10136</v>
          </cell>
          <cell r="AS41">
            <v>63485</v>
          </cell>
          <cell r="AT41">
            <v>53348</v>
          </cell>
          <cell r="AU41">
            <v>63485</v>
          </cell>
          <cell r="AV41">
            <v>58559</v>
          </cell>
          <cell r="AW41">
            <v>58559</v>
          </cell>
          <cell r="AX41" t="str">
            <v/>
          </cell>
          <cell r="AY41">
            <v>3.8E-3</v>
          </cell>
        </row>
        <row r="42">
          <cell r="D42" t="str">
            <v>Alquiler planta electrica  25 KVA</v>
          </cell>
          <cell r="E42" t="str">
            <v>ALQUILER DE PLANTA ELÉCTRICA DE 25 KVA: PLANTA ELECTRICA DE 25 KVA INSONORIZADA, QUE INCLUYA TRANSPORTE, PARCIAL DE CORRIENTE DE 10 METROS, TRIFÁSICA, TIERRA Y NEUTRO CON OPERARIO DISPONIBLE JORNADA POR EVENTO O DÍA</v>
          </cell>
          <cell r="F42" t="str">
            <v>SERVICIO</v>
          </cell>
          <cell r="G42">
            <v>1</v>
          </cell>
          <cell r="Q42" t="str">
            <v> </v>
          </cell>
          <cell r="R42" t="str">
            <v> </v>
          </cell>
          <cell r="S42" t="str">
            <v> </v>
          </cell>
          <cell r="T42" t="str">
            <v> </v>
          </cell>
          <cell r="U42" t="str">
            <v> </v>
          </cell>
          <cell r="V42" t="str">
            <v>OPERADOR LOGÍSTICO</v>
          </cell>
          <cell r="W42" t="str">
            <v>OPERADOR LOGÍSTICO</v>
          </cell>
          <cell r="X42" t="str">
            <v>OPERADOR LOGÍSTICO</v>
          </cell>
          <cell r="Y42" t="str">
            <v>OPERADOR LOGÍSTICO</v>
          </cell>
          <cell r="Z42" t="str">
            <v>Estimación de precios con base en el proceso FDLSUBA-LP-013-2025 (140689) – Contrato 1000 – 2025, indexando el incremento de precios en el mercado con base en el Índice de Precios al Consumidor (IPC) para el mes de marzo de 2026, el cual fue de 5,56%.</v>
          </cell>
          <cell r="AA42" t="str">
            <v>OPERADOR LOGÍSTICO</v>
          </cell>
          <cell r="AB42" t="str">
            <v>OPERADOR LOGÍSTICO</v>
          </cell>
          <cell r="AC42" t="str">
            <v>OPERADOR LOGÍSTICO</v>
          </cell>
          <cell r="AD42" t="str">
            <v>OPERADOR LOGÍSTICO</v>
          </cell>
          <cell r="AE42" t="str">
            <v>OPERADOR LOGÍSTICO</v>
          </cell>
          <cell r="AF42">
            <v>1128785.7142857099</v>
          </cell>
          <cell r="AG42">
            <v>214469.28571428571</v>
          </cell>
          <cell r="AH42">
            <v>1343255</v>
          </cell>
          <cell r="AI42" t="str">
            <v>OPERADOR LOGÍSTICO</v>
          </cell>
          <cell r="AJ42" t="str">
            <v>OPERADOR LOGÍSTICO</v>
          </cell>
          <cell r="AK42" t="str">
            <v>OPERADOR LOGÍSTICO</v>
          </cell>
          <cell r="AL42" t="str">
            <v>OPERADOR LOGÍSTICO</v>
          </cell>
          <cell r="AM42" t="str">
            <v>FUNCAS</v>
          </cell>
          <cell r="AN42" t="str">
            <v>OPERADOR LOGÍSTICO</v>
          </cell>
          <cell r="AO42" t="str">
            <v>OPERADOR LOGÍSTICO</v>
          </cell>
          <cell r="AP42" t="str">
            <v>OPERADOR LOGÍSTICO</v>
          </cell>
          <cell r="AQ42">
            <v>1090717</v>
          </cell>
          <cell r="AR42">
            <v>207236</v>
          </cell>
          <cell r="AS42">
            <v>1297954</v>
          </cell>
          <cell r="AT42">
            <v>1090717</v>
          </cell>
          <cell r="AU42">
            <v>1297954</v>
          </cell>
          <cell r="AV42">
            <v>1213370</v>
          </cell>
          <cell r="AW42">
            <v>1213370</v>
          </cell>
          <cell r="AX42" t="str">
            <v/>
          </cell>
          <cell r="AY42">
            <v>2.4299999999999999E-2</v>
          </cell>
        </row>
        <row r="43">
          <cell r="D43" t="str">
            <v>Alquiler planta electrica 120 KVA</v>
          </cell>
          <cell r="E43" t="str">
            <v>ALQUILER DE PLANTA ELÉCTRICA DE 120 KVA: PLANTA ELECTRICA DE 120 KVA INSONORIZADA, QUE INCLUYA TRANSPORTE, PARCIAL DE CORRIENTE DE 10 METROS, TRIFÁSICA, TIERRA Y NEUTRO CON OPERARIO DISPONIBLE JORNADA POR EVENTO O DÍA.</v>
          </cell>
          <cell r="F43" t="str">
            <v>SERVICIO</v>
          </cell>
          <cell r="G43">
            <v>1</v>
          </cell>
          <cell r="Q43" t="str">
            <v> </v>
          </cell>
          <cell r="R43" t="str">
            <v> </v>
          </cell>
          <cell r="S43" t="str">
            <v> </v>
          </cell>
          <cell r="T43" t="str">
            <v> </v>
          </cell>
          <cell r="U43" t="str">
            <v> </v>
          </cell>
          <cell r="V43" t="str">
            <v>OPERADOR LOGÍSTICO</v>
          </cell>
          <cell r="W43" t="str">
            <v>OPERADOR LOGÍSTICO</v>
          </cell>
          <cell r="X43" t="str">
            <v>OPERADOR LOGÍSTICO</v>
          </cell>
          <cell r="Y43" t="str">
            <v>OPERADOR LOGÍSTICO</v>
          </cell>
          <cell r="Z43" t="str">
            <v>Estimación de precios con base en el proceso FDLSUBA-LP-013-2025 (140689) – Contrato 1000 – 2025, indexando el incremento de precios en el mercado con base en el Índice de Precios al Consumidor (IPC) para el mes de marzo de 2026, el cual fue de 5,56%.</v>
          </cell>
          <cell r="AA43" t="str">
            <v>OPERADOR LOGÍSTICO</v>
          </cell>
          <cell r="AB43" t="str">
            <v>OPERADOR LOGÍSTICO</v>
          </cell>
          <cell r="AC43" t="str">
            <v>OPERADOR LOGÍSTICO</v>
          </cell>
          <cell r="AD43" t="str">
            <v>OPERADOR LOGÍSTICO</v>
          </cell>
          <cell r="AE43" t="str">
            <v>OPERADOR LOGÍSTICO</v>
          </cell>
          <cell r="AF43">
            <v>2252912.6050420199</v>
          </cell>
          <cell r="AG43">
            <v>428053.39495798323</v>
          </cell>
          <cell r="AH43">
            <v>2680966</v>
          </cell>
          <cell r="AI43" t="str">
            <v>OPERADOR LOGÍSTICO</v>
          </cell>
          <cell r="AJ43" t="str">
            <v>OPERADOR LOGÍSTICO</v>
          </cell>
          <cell r="AK43" t="str">
            <v>OPERADOR LOGÍSTICO</v>
          </cell>
          <cell r="AL43" t="str">
            <v>OPERADOR LOGÍSTICO</v>
          </cell>
          <cell r="AM43" t="str">
            <v>FUNCAS</v>
          </cell>
          <cell r="AN43" t="str">
            <v>OPERADOR LOGÍSTICO</v>
          </cell>
          <cell r="AO43" t="str">
            <v>OPERADOR LOGÍSTICO</v>
          </cell>
          <cell r="AP43" t="str">
            <v>OPERADOR LOGÍSTICO</v>
          </cell>
          <cell r="AQ43">
            <v>2176933</v>
          </cell>
          <cell r="AR43">
            <v>413617</v>
          </cell>
          <cell r="AS43">
            <v>2590551</v>
          </cell>
          <cell r="AT43">
            <v>2176933</v>
          </cell>
          <cell r="AU43">
            <v>2590551</v>
          </cell>
          <cell r="AV43">
            <v>2421732</v>
          </cell>
          <cell r="AW43">
            <v>2421732</v>
          </cell>
          <cell r="AX43" t="str">
            <v/>
          </cell>
          <cell r="AY43">
            <v>2.4299999999999999E-2</v>
          </cell>
        </row>
        <row r="44">
          <cell r="D44" t="str">
            <v>Alquiler planta electrica 200 KVA</v>
          </cell>
          <cell r="E44" t="str">
            <v>ALQUILER DE PLANTA ELÉCTRICA DE 200 KVA: PLANTA ELECTRICA DE 200 KVA INSONORIZADA, QUE INCLUYA TRANSPORTE, PARCIAL DE CORRIENTE DE 10 METROS, TRIFÁSICA, TIERRA Y NEUTRO CON OPERARIO DISPONIBLE JORNADA POR EVENTO O DÍA</v>
          </cell>
          <cell r="F44" t="str">
            <v>SERVICIO</v>
          </cell>
          <cell r="G44">
            <v>1</v>
          </cell>
          <cell r="Q44" t="str">
            <v> </v>
          </cell>
          <cell r="R44" t="str">
            <v> </v>
          </cell>
          <cell r="S44" t="str">
            <v> </v>
          </cell>
          <cell r="T44" t="str">
            <v> </v>
          </cell>
          <cell r="U44" t="str">
            <v> </v>
          </cell>
          <cell r="V44" t="str">
            <v>OPERADOR LOGÍSTICO</v>
          </cell>
          <cell r="W44" t="str">
            <v>OPERADOR LOGÍSTICO</v>
          </cell>
          <cell r="X44" t="str">
            <v>OPERADOR LOGÍSTICO</v>
          </cell>
          <cell r="Y44" t="str">
            <v>OPERADOR LOGÍSTICO</v>
          </cell>
          <cell r="Z44" t="str">
            <v>Estimación de precios con base en el proceso FDLSUBA-LP-013-2025 (140689) – Contrato 1000 – 2025, indexando el incremento de precios en el mercado con base en el Índice de Precios al Consumidor (IPC) para el mes de marzo de 2026, el cual fue de 5,56%.</v>
          </cell>
          <cell r="AA44" t="str">
            <v>OPERADOR LOGÍSTICO</v>
          </cell>
          <cell r="AB44" t="str">
            <v>OPERADOR LOGÍSTICO</v>
          </cell>
          <cell r="AC44" t="str">
            <v>OPERADOR LOGÍSTICO</v>
          </cell>
          <cell r="AD44" t="str">
            <v>OPERADOR LOGÍSTICO</v>
          </cell>
          <cell r="AE44" t="str">
            <v>OPERADOR LOGÍSTICO</v>
          </cell>
          <cell r="AF44">
            <v>2860672.26890756</v>
          </cell>
          <cell r="AG44">
            <v>543527.73109243705</v>
          </cell>
          <cell r="AH44">
            <v>3404200</v>
          </cell>
          <cell r="AI44" t="str">
            <v>OPERADOR LOGÍSTICO</v>
          </cell>
          <cell r="AJ44" t="str">
            <v>OPERADOR LOGÍSTICO</v>
          </cell>
          <cell r="AK44" t="str">
            <v>OPERADOR LOGÍSTICO</v>
          </cell>
          <cell r="AL44" t="str">
            <v>OPERADOR LOGÍSTICO</v>
          </cell>
          <cell r="AM44" t="str">
            <v>FUNCAS</v>
          </cell>
          <cell r="AN44" t="str">
            <v>OPERADOR LOGÍSTICO</v>
          </cell>
          <cell r="AO44" t="str">
            <v>OPERADOR LOGÍSTICO</v>
          </cell>
          <cell r="AP44" t="str">
            <v>OPERADOR LOGÍSTICO</v>
          </cell>
          <cell r="AQ44">
            <v>2764196</v>
          </cell>
          <cell r="AR44">
            <v>525197</v>
          </cell>
          <cell r="AS44">
            <v>3289393</v>
          </cell>
          <cell r="AT44">
            <v>2764196</v>
          </cell>
          <cell r="AU44">
            <v>3289393</v>
          </cell>
          <cell r="AV44">
            <v>3075033</v>
          </cell>
          <cell r="AW44">
            <v>3075033</v>
          </cell>
          <cell r="AX44" t="str">
            <v/>
          </cell>
          <cell r="AY44">
            <v>2.4299999999999999E-2</v>
          </cell>
        </row>
        <row r="45">
          <cell r="D45" t="str">
            <v>Alquiler planta electrica 250 KVA</v>
          </cell>
          <cell r="E45" t="str">
            <v>ALQUILER DE PLANTA ELÉCTRICA DE 250 KVA: PLANTA ELECTRICA DE 250 KVA INSONORIZADA, QUE INCLUYA TRANSPORTE, PARCIAL DE CORRIENTE DE 10 METROS, TRIFÁSICA, TIERRA Y NEUTRO CON OPERARIO DISPONIBLE JORNADA POR EVENTO O DÍA</v>
          </cell>
          <cell r="F45" t="str">
            <v>SERVICIO</v>
          </cell>
          <cell r="G45">
            <v>1</v>
          </cell>
          <cell r="Q45" t="str">
            <v> </v>
          </cell>
          <cell r="R45" t="str">
            <v> </v>
          </cell>
          <cell r="S45" t="str">
            <v> </v>
          </cell>
          <cell r="T45" t="str">
            <v> </v>
          </cell>
          <cell r="U45" t="str">
            <v> </v>
          </cell>
          <cell r="V45" t="str">
            <v>OPERADOR LOGÍSTICO</v>
          </cell>
          <cell r="W45" t="str">
            <v>OPERADOR LOGÍSTICO</v>
          </cell>
          <cell r="X45" t="str">
            <v>OPERADOR LOGÍSTICO</v>
          </cell>
          <cell r="Y45" t="str">
            <v>OPERADOR LOGÍSTICO</v>
          </cell>
          <cell r="Z45" t="str">
            <v>Estimación de precios con base en el proceso FDLSUBA-LP-013-2025 (140689) – Contrato 1000 – 2025, indexando el incremento de precios en el mercado con base en el Índice de Precios al Consumidor (IPC) para el mes de marzo de 2026, el cual fue de 5,56%.</v>
          </cell>
          <cell r="AA45" t="str">
            <v>OPERADOR LOGÍSTICO</v>
          </cell>
          <cell r="AB45" t="str">
            <v>OPERADOR LOGÍSTICO</v>
          </cell>
          <cell r="AC45" t="str">
            <v>OPERADOR LOGÍSTICO</v>
          </cell>
          <cell r="AD45" t="str">
            <v>OPERADOR LOGÍSTICO</v>
          </cell>
          <cell r="AE45" t="str">
            <v>OPERADOR LOGÍSTICO</v>
          </cell>
          <cell r="AF45">
            <v>3215490.7563025202</v>
          </cell>
          <cell r="AG45">
            <v>610943.24369747902</v>
          </cell>
          <cell r="AH45">
            <v>3826434</v>
          </cell>
          <cell r="AI45" t="str">
            <v>OPERADOR LOGÍSTICO</v>
          </cell>
          <cell r="AJ45" t="str">
            <v>OPERADOR LOGÍSTICO</v>
          </cell>
          <cell r="AK45" t="str">
            <v>OPERADOR LOGÍSTICO</v>
          </cell>
          <cell r="AL45" t="str">
            <v>OPERADOR LOGÍSTICO</v>
          </cell>
          <cell r="AM45" t="str">
            <v>FUNCAS</v>
          </cell>
          <cell r="AN45" t="str">
            <v>OPERADOR LOGÍSTICO</v>
          </cell>
          <cell r="AO45" t="str">
            <v>OPERADOR LOGÍSTICO</v>
          </cell>
          <cell r="AP45" t="str">
            <v>OPERADOR LOGÍSTICO</v>
          </cell>
          <cell r="AQ45">
            <v>3107049</v>
          </cell>
          <cell r="AR45">
            <v>590339</v>
          </cell>
          <cell r="AS45">
            <v>3697388</v>
          </cell>
          <cell r="AT45">
            <v>3107049</v>
          </cell>
          <cell r="AU45">
            <v>3697388</v>
          </cell>
          <cell r="AV45">
            <v>3456439</v>
          </cell>
          <cell r="AW45">
            <v>3456439</v>
          </cell>
          <cell r="AX45" t="str">
            <v/>
          </cell>
          <cell r="AY45">
            <v>2.4299999999999999E-2</v>
          </cell>
        </row>
        <row r="46">
          <cell r="D46" t="str">
            <v>Alquiler planta electrica 50 KVA</v>
          </cell>
          <cell r="E46" t="str">
            <v>Alquiler de planta eléctrica de 50 KVA, que incluya transporte: Planta eléctrica de 50 KVA insonorizada, parcial de corriente de 10 metros, trifásica, tierra y neutro con operario disponible jornada por evento o día.</v>
          </cell>
          <cell r="F46" t="str">
            <v>Servicio</v>
          </cell>
          <cell r="G46">
            <v>1</v>
          </cell>
          <cell r="H46" t="str">
            <v>Alquiler</v>
          </cell>
          <cell r="I46" t="str">
            <v>Luz Jimenez</v>
          </cell>
          <cell r="J46">
            <v>46134</v>
          </cell>
          <cell r="K46" t="str">
            <v>CJ POWER SAS- Plantas Electricas_12-02-2026.pdf</v>
          </cell>
          <cell r="L46" t="str">
            <v>Gestión</v>
          </cell>
          <cell r="M46" t="str">
            <v>CJ POWER SAS</v>
          </cell>
          <cell r="N46">
            <v>1320000</v>
          </cell>
          <cell r="O46" t="str">
            <v>Precio sin Iva</v>
          </cell>
          <cell r="P46" t="str">
            <v>Si tiene IVA</v>
          </cell>
          <cell r="Q46">
            <v>1320000</v>
          </cell>
          <cell r="R46">
            <v>250800</v>
          </cell>
          <cell r="S46">
            <v>1570800</v>
          </cell>
          <cell r="T46">
            <v>1320000</v>
          </cell>
          <cell r="U46">
            <v>1570800</v>
          </cell>
          <cell r="V46" t="str">
            <v>Luz Jimenez</v>
          </cell>
          <cell r="W46">
            <v>46134</v>
          </cell>
          <cell r="X46" t="str">
            <v>D&amp;R PRODUCCIONES_LOGISTICA_VARIOS_13-03-2026.pdf</v>
          </cell>
          <cell r="Y46" t="str">
            <v>Gestión</v>
          </cell>
          <cell r="Z46" t="str">
            <v>D&amp;R PRODUCCIONES SAS</v>
          </cell>
          <cell r="AA46">
            <v>1261500</v>
          </cell>
          <cell r="AB46" t="str">
            <v>Precio sin Iva</v>
          </cell>
          <cell r="AC46" t="str">
            <v>Si tiene IVA</v>
          </cell>
          <cell r="AD46">
            <v>1261500</v>
          </cell>
          <cell r="AE46">
            <v>239685</v>
          </cell>
          <cell r="AF46">
            <v>1501185</v>
          </cell>
          <cell r="AG46">
            <v>1261500</v>
          </cell>
          <cell r="AH46">
            <v>1501185</v>
          </cell>
          <cell r="AI46" t="str">
            <v>Luz Jimenez</v>
          </cell>
          <cell r="AJ46">
            <v>46080</v>
          </cell>
          <cell r="AK46" t="str">
            <v>On Music Eventos_Varios.pdf</v>
          </cell>
          <cell r="AL46" t="str">
            <v>Gestión</v>
          </cell>
          <cell r="AM46" t="str">
            <v>On Music Eventos</v>
          </cell>
          <cell r="AN46">
            <v>1600000</v>
          </cell>
          <cell r="AO46" t="str">
            <v>Precio sin Iva</v>
          </cell>
          <cell r="AP46" t="str">
            <v>Si tiene IVA</v>
          </cell>
          <cell r="AQ46">
            <v>1600000</v>
          </cell>
          <cell r="AR46">
            <v>304000</v>
          </cell>
          <cell r="AS46">
            <v>1904000</v>
          </cell>
          <cell r="AT46">
            <v>1600000</v>
          </cell>
          <cell r="AU46">
            <v>1904000</v>
          </cell>
          <cell r="AV46">
            <v>1658662</v>
          </cell>
          <cell r="AW46">
            <v>1658662</v>
          </cell>
          <cell r="AX46">
            <v>215301</v>
          </cell>
          <cell r="AY46">
            <v>0.129804022760514</v>
          </cell>
          <cell r="BA46">
            <v>3</v>
          </cell>
        </row>
        <row r="47">
          <cell r="D47" t="str">
            <v>Alquiler planta electrica 75 KVA</v>
          </cell>
          <cell r="E47" t="str">
            <v>ALQUILER DE PLANTA ELÉCTRICA DE 75 KVA: PLANTA ELECTRICA DE 75 KVA INSONORIZADA, QUE INCLUYA TRANSPORTE, PARCIAL DE CORRIENTE DE 10 METROS, TRIFÁSICA, TIERRA Y NEUTRO CON OPERARIO DISPONIBLE JORNADA POR EVENTO O DÍA</v>
          </cell>
          <cell r="F47" t="str">
            <v>SERVICIO</v>
          </cell>
          <cell r="G47">
            <v>1</v>
          </cell>
          <cell r="Q47" t="str">
            <v> </v>
          </cell>
          <cell r="R47" t="str">
            <v> </v>
          </cell>
          <cell r="S47" t="str">
            <v> </v>
          </cell>
          <cell r="T47" t="str">
            <v> </v>
          </cell>
          <cell r="U47" t="str">
            <v> </v>
          </cell>
          <cell r="V47" t="str">
            <v>OPERADOR LOGÍSTICO</v>
          </cell>
          <cell r="W47" t="str">
            <v>OPERADOR LOGÍSTICO</v>
          </cell>
          <cell r="X47" t="str">
            <v>OPERADOR LOGÍSTICO</v>
          </cell>
          <cell r="Y47" t="str">
            <v>OPERADOR LOGÍSTICO</v>
          </cell>
          <cell r="Z47" t="str">
            <v>Estimación de precios con base en el proceso FDLSUBA-LP-013-2025 (140689) – Contrato 1000 – 2025, indexando el incremento de precios en el mercado con base en el Índice de Precios al Consumidor (IPC) para el mes de marzo de 2026, el cual fue de 5,56%.</v>
          </cell>
          <cell r="AA47" t="str">
            <v>OPERADOR LOGÍSTICO</v>
          </cell>
          <cell r="AB47" t="str">
            <v>OPERADOR LOGÍSTICO</v>
          </cell>
          <cell r="AC47" t="str">
            <v>OPERADOR LOGÍSTICO</v>
          </cell>
          <cell r="AD47" t="str">
            <v>OPERADOR LOGÍSTICO</v>
          </cell>
          <cell r="AE47" t="str">
            <v>OPERADOR LOGÍSTICO</v>
          </cell>
          <cell r="AF47">
            <v>1633309.2436974801</v>
          </cell>
          <cell r="AG47">
            <v>310328.75630252098</v>
          </cell>
          <cell r="AH47">
            <v>1943638</v>
          </cell>
          <cell r="AI47" t="str">
            <v>OPERADOR LOGÍSTICO</v>
          </cell>
          <cell r="AJ47" t="str">
            <v>OPERADOR LOGÍSTICO</v>
          </cell>
          <cell r="AK47" t="str">
            <v>OPERADOR LOGÍSTICO</v>
          </cell>
          <cell r="AL47" t="str">
            <v>OPERADOR LOGÍSTICO</v>
          </cell>
          <cell r="AM47" t="str">
            <v>FUNCAS</v>
          </cell>
          <cell r="AN47" t="str">
            <v>OPERADOR LOGÍSTICO</v>
          </cell>
          <cell r="AO47" t="str">
            <v>OPERADOR LOGÍSTICO</v>
          </cell>
          <cell r="AP47" t="str">
            <v>OPERADOR LOGÍSTICO</v>
          </cell>
          <cell r="AQ47">
            <v>1578226</v>
          </cell>
          <cell r="AR47">
            <v>299863</v>
          </cell>
          <cell r="AS47">
            <v>1878089</v>
          </cell>
          <cell r="AT47">
            <v>1578226</v>
          </cell>
          <cell r="AU47">
            <v>1878089</v>
          </cell>
          <cell r="AV47">
            <v>1755699</v>
          </cell>
          <cell r="AW47">
            <v>1755699</v>
          </cell>
          <cell r="AX47" t="str">
            <v/>
          </cell>
          <cell r="AY47">
            <v>2.4299999999999999E-2</v>
          </cell>
        </row>
        <row r="48">
          <cell r="D48" t="str">
            <v>Alquiler punto corriente</v>
          </cell>
          <cell r="E48" t="str">
            <v>ALQUILER DE PUNTO DE CORRIENTE CON TOMA DOBLE TIPO LEVINTON Y CABLE ENCAUCHETADO, LA ELECTRICIDAD SALE DE LAS PLANTAS QUE SE ALQUILAN PARA EL EVENTO, DISPONIBLE JORNADA DE 7 A 10 HORAS.</v>
          </cell>
          <cell r="F48" t="str">
            <v>SERVICIO</v>
          </cell>
          <cell r="G48">
            <v>1</v>
          </cell>
          <cell r="Q48" t="str">
            <v> </v>
          </cell>
          <cell r="R48" t="str">
            <v> </v>
          </cell>
          <cell r="S48" t="str">
            <v> </v>
          </cell>
          <cell r="T48" t="str">
            <v> </v>
          </cell>
          <cell r="U48" t="str">
            <v> </v>
          </cell>
          <cell r="V48" t="str">
            <v>OPERADOR LOGÍSTICO</v>
          </cell>
          <cell r="W48" t="str">
            <v>OPERADOR LOGÍSTICO</v>
          </cell>
          <cell r="X48" t="str">
            <v>OPERADOR LOGÍSTICO</v>
          </cell>
          <cell r="Y48" t="str">
            <v>OPERADOR LOGÍSTICO</v>
          </cell>
          <cell r="Z48" t="str">
            <v>Estimación de precios con base en el proceso FDLSUBA-LP-013-2025 (140689) – Contrato 1000 – 2025, indexando el incremento de precios en el mercado con base en el Índice de Precios al Consumidor (IPC) para el mes de marzo de 2026, el cual fue de 5,56%.</v>
          </cell>
          <cell r="AA48" t="str">
            <v>OPERADOR LOGÍSTICO</v>
          </cell>
          <cell r="AB48" t="str">
            <v>OPERADOR LOGÍSTICO</v>
          </cell>
          <cell r="AC48" t="str">
            <v>OPERADOR LOGÍSTICO</v>
          </cell>
          <cell r="AD48" t="str">
            <v>OPERADOR LOGÍSTICO</v>
          </cell>
          <cell r="AE48" t="str">
            <v>OPERADOR LOGÍSTICO</v>
          </cell>
          <cell r="AF48">
            <v>184506.7226890756</v>
          </cell>
          <cell r="AG48">
            <v>35056.277310924372</v>
          </cell>
          <cell r="AH48">
            <v>219563</v>
          </cell>
          <cell r="AI48" t="str">
            <v>OPERADOR LOGÍSTICO</v>
          </cell>
          <cell r="AJ48" t="str">
            <v>OPERADOR LOGÍSTICO</v>
          </cell>
          <cell r="AK48" t="str">
            <v>OPERADOR LOGÍSTICO</v>
          </cell>
          <cell r="AL48" t="str">
            <v>OPERADOR LOGÍSTICO</v>
          </cell>
          <cell r="AM48" t="str">
            <v>FUNCAS</v>
          </cell>
          <cell r="AN48" t="str">
            <v>OPERADOR LOGÍSTICO</v>
          </cell>
          <cell r="AO48" t="str">
            <v>OPERADOR LOGÍSTICO</v>
          </cell>
          <cell r="AP48" t="str">
            <v>OPERADOR LOGÍSTICO</v>
          </cell>
          <cell r="AQ48">
            <v>178284</v>
          </cell>
          <cell r="AR48">
            <v>33874</v>
          </cell>
          <cell r="AS48">
            <v>212158</v>
          </cell>
          <cell r="AT48">
            <v>178284</v>
          </cell>
          <cell r="AU48">
            <v>212158</v>
          </cell>
          <cell r="AV48">
            <v>198332</v>
          </cell>
          <cell r="AW48">
            <v>198332</v>
          </cell>
          <cell r="AX48" t="str">
            <v/>
          </cell>
          <cell r="AY48">
            <v>2.4299999999999999E-2</v>
          </cell>
        </row>
        <row r="49">
          <cell r="D49" t="str">
            <v>Alquiler señalizador</v>
          </cell>
          <cell r="E49" t="str">
            <v>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v>
          </cell>
          <cell r="F49" t="str">
            <v>SERVICIO</v>
          </cell>
          <cell r="G49">
            <v>1</v>
          </cell>
          <cell r="Q49" t="str">
            <v> </v>
          </cell>
          <cell r="R49" t="str">
            <v> </v>
          </cell>
          <cell r="S49" t="str">
            <v> </v>
          </cell>
          <cell r="T49" t="str">
            <v> </v>
          </cell>
          <cell r="U49" t="str">
            <v> </v>
          </cell>
          <cell r="V49" t="str">
            <v>OPERADOR LOGÍSTICO</v>
          </cell>
          <cell r="W49" t="str">
            <v>OPERADOR LOGÍSTICO</v>
          </cell>
          <cell r="X49" t="str">
            <v>OPERADOR LOGÍSTICO</v>
          </cell>
          <cell r="Y49" t="str">
            <v>OPERADOR LOGÍSTICO</v>
          </cell>
          <cell r="Z49" t="str">
            <v>Estimación de precios con base en el proceso FDLSUBA-LP-013-2025 (140689) – Contrato 1000 – 2025, indexando el incremento de precios en el mercado con base en el Índice de Precios al Consumidor (IPC) para el mes de marzo de 2026, el cual fue de 5,56%.</v>
          </cell>
          <cell r="AA49" t="str">
            <v>OPERADOR LOGÍSTICO</v>
          </cell>
          <cell r="AB49" t="str">
            <v>OPERADOR LOGÍSTICO</v>
          </cell>
          <cell r="AC49" t="str">
            <v>OPERADOR LOGÍSTICO</v>
          </cell>
          <cell r="AD49" t="str">
            <v>OPERADOR LOGÍSTICO</v>
          </cell>
          <cell r="AE49" t="str">
            <v>OPERADOR LOGÍSTICO</v>
          </cell>
          <cell r="AF49">
            <v>81027.731092436981</v>
          </cell>
          <cell r="AG49">
            <v>15395.26890756303</v>
          </cell>
          <cell r="AH49">
            <v>96423</v>
          </cell>
          <cell r="AI49" t="str">
            <v>OPERADOR LOGÍSTICO</v>
          </cell>
          <cell r="AJ49" t="str">
            <v>OPERADOR LOGÍSTICO</v>
          </cell>
          <cell r="AK49" t="str">
            <v>OPERADOR LOGÍSTICO</v>
          </cell>
          <cell r="AL49" t="str">
            <v>OPERADOR LOGÍSTICO</v>
          </cell>
          <cell r="AM49" t="str">
            <v>FUNCAS</v>
          </cell>
          <cell r="AN49" t="str">
            <v>OPERADOR LOGÍSTICO</v>
          </cell>
          <cell r="AO49" t="str">
            <v>OPERADOR LOGÍSTICO</v>
          </cell>
          <cell r="AP49" t="str">
            <v>OPERADOR LOGÍSTICO</v>
          </cell>
          <cell r="AQ49">
            <v>78295</v>
          </cell>
          <cell r="AR49">
            <v>14876</v>
          </cell>
          <cell r="AS49">
            <v>93171</v>
          </cell>
          <cell r="AT49">
            <v>78295</v>
          </cell>
          <cell r="AU49">
            <v>93171</v>
          </cell>
          <cell r="AV49">
            <v>87099</v>
          </cell>
          <cell r="AW49">
            <v>87099</v>
          </cell>
          <cell r="AX49" t="str">
            <v/>
          </cell>
          <cell r="AY49">
            <v>2.4299999999999999E-2</v>
          </cell>
        </row>
        <row r="50">
          <cell r="D50" t="str">
            <v>Alquiler sobretarima 3 x 3</v>
          </cell>
          <cell r="E50" t="str">
            <v>ALQUILER DE SOBRETARIMA DE 3X3 (ALTURA MODULAR ENTRE 0.20 Y 0.80) CON ALFOMBRA Y LAS ESCALERAS RESPECTIVAS   INCLUYE INSTALACIÓN, TRANSPORTE Y ENTREGA EN EL LUGAR REQUERIDO, MONTAJE Y DESMONTAJE DE LA MISMA  (POR EVENTO O DÍA)</v>
          </cell>
          <cell r="F50" t="str">
            <v>SERVICIO</v>
          </cell>
          <cell r="G50">
            <v>1</v>
          </cell>
          <cell r="Q50" t="str">
            <v> </v>
          </cell>
          <cell r="R50" t="str">
            <v> </v>
          </cell>
          <cell r="S50" t="str">
            <v> </v>
          </cell>
          <cell r="T50" t="str">
            <v> </v>
          </cell>
          <cell r="U50" t="str">
            <v> </v>
          </cell>
          <cell r="V50" t="str">
            <v>OPERADOR LOGÍSTICO</v>
          </cell>
          <cell r="W50" t="str">
            <v>OPERADOR LOGÍSTICO</v>
          </cell>
          <cell r="X50" t="str">
            <v>OPERADOR LOGÍSTICO</v>
          </cell>
          <cell r="Y50" t="str">
            <v>OPERADOR LOGÍSTICO</v>
          </cell>
          <cell r="Z50" t="str">
            <v>Estimación de precios con base en el proceso FDLSUBA-LP-013-2025 (140689) – Contrato 1000 – 2025, indexando el incremento de precios en el mercado con base en el Índice de Precios al Consumidor (IPC) para el mes de marzo de 2026, el cual fue de 5,56%.</v>
          </cell>
          <cell r="AA50" t="str">
            <v>OPERADOR LOGÍSTICO</v>
          </cell>
          <cell r="AB50" t="str">
            <v>OPERADOR LOGÍSTICO</v>
          </cell>
          <cell r="AC50" t="str">
            <v>OPERADOR LOGÍSTICO</v>
          </cell>
          <cell r="AD50" t="str">
            <v>OPERADOR LOGÍSTICO</v>
          </cell>
          <cell r="AE50" t="str">
            <v>OPERADOR LOGÍSTICO</v>
          </cell>
          <cell r="AF50">
            <v>975838.65546218504</v>
          </cell>
          <cell r="AG50">
            <v>185409.34453781511</v>
          </cell>
          <cell r="AH50">
            <v>1161248</v>
          </cell>
          <cell r="AI50" t="str">
            <v>OPERADOR LOGÍSTICO</v>
          </cell>
          <cell r="AJ50" t="str">
            <v>OPERADOR LOGÍSTICO</v>
          </cell>
          <cell r="AK50" t="str">
            <v>OPERADOR LOGÍSTICO</v>
          </cell>
          <cell r="AL50" t="str">
            <v>OPERADOR LOGÍSTICO</v>
          </cell>
          <cell r="AM50" t="str">
            <v>FUNCAS</v>
          </cell>
          <cell r="AN50" t="str">
            <v>OPERADOR LOGÍSTICO</v>
          </cell>
          <cell r="AO50" t="str">
            <v>OPERADOR LOGÍSTICO</v>
          </cell>
          <cell r="AP50" t="str">
            <v>OPERADOR LOGÍSTICO</v>
          </cell>
          <cell r="AQ50">
            <v>961418</v>
          </cell>
          <cell r="AR50">
            <v>182669</v>
          </cell>
          <cell r="AS50">
            <v>1144087</v>
          </cell>
          <cell r="AT50">
            <v>961418</v>
          </cell>
          <cell r="AU50">
            <v>1144087</v>
          </cell>
          <cell r="AV50">
            <v>1059963</v>
          </cell>
          <cell r="AW50">
            <v>1059963</v>
          </cell>
          <cell r="AX50" t="str">
            <v/>
          </cell>
          <cell r="AY50">
            <v>1.0500000000000001E-2</v>
          </cell>
        </row>
        <row r="51">
          <cell r="D51" t="str">
            <v>Alquiler sobretarima 4 x 4</v>
          </cell>
          <cell r="E51" t="str">
            <v>ALQUILER DE SOBRETARIMA DE 4X4 (ALTURA MODULAR ENTRE 0.20 Y 0.80) CON ALFOMBRA Y LAS ESCALERAS RESPECTIVAS   INCLUYE INSTALACIÓN, TRANSPORTE Y ENTREGA EN EL LUGAR REQUERIDO, MONTAJE Y DESMONTAJE DE LA MISMA  (JORNADA POR EVENTO O DÍA)</v>
          </cell>
          <cell r="F51" t="str">
            <v>Unidad</v>
          </cell>
          <cell r="G51">
            <v>1</v>
          </cell>
          <cell r="H51" t="str">
            <v>Alquiler</v>
          </cell>
          <cell r="I51" t="str">
            <v>Luz Jimenez</v>
          </cell>
          <cell r="J51">
            <v>46152</v>
          </cell>
          <cell r="K51" t="str">
            <v>D&amp;R PRODUCCIONES_VARIOS_03_02_2026.pdf</v>
          </cell>
          <cell r="L51" t="str">
            <v>Transcripción</v>
          </cell>
          <cell r="M51" t="str">
            <v>D&amp;R PRODUCCIONES</v>
          </cell>
          <cell r="N51">
            <v>1150000</v>
          </cell>
          <cell r="O51" t="str">
            <v>Precio sin Iva</v>
          </cell>
          <cell r="P51" t="str">
            <v>Si tiene IVA</v>
          </cell>
          <cell r="Q51">
            <v>1150000</v>
          </cell>
          <cell r="R51">
            <v>218500</v>
          </cell>
          <cell r="S51">
            <v>1368500</v>
          </cell>
          <cell r="T51">
            <v>1150000</v>
          </cell>
          <cell r="U51">
            <v>1368500</v>
          </cell>
          <cell r="V51" t="str">
            <v>Luz Jimenez</v>
          </cell>
          <cell r="W51">
            <v>46152</v>
          </cell>
          <cell r="X51" t="str">
            <v>EFECTO_MASIVO_24_03.pdf</v>
          </cell>
          <cell r="Y51" t="str">
            <v>Gestión</v>
          </cell>
          <cell r="Z51" t="str">
            <v>EFECTO_MASIVO</v>
          </cell>
          <cell r="AA51">
            <v>1008403</v>
          </cell>
          <cell r="AB51" t="str">
            <v>Precio sin Iva</v>
          </cell>
          <cell r="AC51" t="str">
            <v>Si tiene IVA</v>
          </cell>
          <cell r="AD51">
            <v>1008403</v>
          </cell>
          <cell r="AE51">
            <v>191596.57</v>
          </cell>
          <cell r="AF51">
            <v>1199999.57</v>
          </cell>
          <cell r="AG51">
            <v>1008403</v>
          </cell>
          <cell r="AH51">
            <v>1199999.57</v>
          </cell>
          <cell r="AI51" t="str">
            <v>Michael</v>
          </cell>
          <cell r="AJ51">
            <v>46071</v>
          </cell>
          <cell r="AK51" t="str">
            <v>PRODUCCIONES_EL_SOL_VARIOS.pdf</v>
          </cell>
          <cell r="AL51" t="str">
            <v>Gestión</v>
          </cell>
          <cell r="AM51" t="str">
            <v>PRODUCCIONES EL SOL</v>
          </cell>
          <cell r="AN51">
            <v>1100000</v>
          </cell>
          <cell r="AO51" t="str">
            <v>Precio sin Iva</v>
          </cell>
          <cell r="AP51" t="str">
            <v>Si tiene IVA</v>
          </cell>
          <cell r="AQ51">
            <v>1100000</v>
          </cell>
          <cell r="AR51">
            <v>209000</v>
          </cell>
          <cell r="AS51">
            <v>1309000</v>
          </cell>
          <cell r="AT51">
            <v>1100000</v>
          </cell>
          <cell r="AU51">
            <v>1309000</v>
          </cell>
          <cell r="AV51">
            <v>1292500</v>
          </cell>
          <cell r="AW51">
            <v>1292500</v>
          </cell>
          <cell r="AX51">
            <v>85453</v>
          </cell>
          <cell r="AY51">
            <v>6.6114506769825901E-2</v>
          </cell>
          <cell r="BA51">
            <v>3</v>
          </cell>
        </row>
        <row r="52">
          <cell r="D52" t="str">
            <v>Alquiler sobretarima 5 x 5</v>
          </cell>
          <cell r="E52" t="str">
            <v>ALQUILER DE SOBRETARIMA DE 5X5 (ALTURA MODULAR ENTRE 0.20 Y 0.80) CON ALFOMBRA Y LAS ESCALERAS RESPECTIVAS   INCLUYE INSTALACIÓN, TRANSPORTE Y ENTREGA EN EL LUGAR REQUERIDO, MONTAJE Y DESMONTAJE DE LA MISMA  (JORNADA POR EVENTO O DÍA)</v>
          </cell>
          <cell r="F52" t="str">
            <v>SERVICIO</v>
          </cell>
          <cell r="G52">
            <v>1</v>
          </cell>
          <cell r="Q52" t="str">
            <v> </v>
          </cell>
          <cell r="R52" t="str">
            <v> </v>
          </cell>
          <cell r="S52" t="str">
            <v> </v>
          </cell>
          <cell r="T52" t="str">
            <v> </v>
          </cell>
          <cell r="U52" t="str">
            <v> </v>
          </cell>
          <cell r="V52" t="str">
            <v>OPERADOR LOGÍSTICO</v>
          </cell>
          <cell r="W52" t="str">
            <v>OPERADOR LOGÍSTICO</v>
          </cell>
          <cell r="X52" t="str">
            <v>OPERADOR LOGÍSTICO</v>
          </cell>
          <cell r="Y52" t="str">
            <v>OPERADOR LOGÍSTICO</v>
          </cell>
          <cell r="Z52" t="str">
            <v>Estimación de precios con base en el proceso FDLSUBA-LP-013-2025 (140689) – Contrato 1000 – 2025, indexando el incremento de precios en el mercado con base en el Índice de Precios al Consumidor (IPC) para el mes de marzo de 2026, el cual fue de 5,56%.</v>
          </cell>
          <cell r="AA52" t="str">
            <v>OPERADOR LOGÍSTICO</v>
          </cell>
          <cell r="AB52" t="str">
            <v>OPERADOR LOGÍSTICO</v>
          </cell>
          <cell r="AC52" t="str">
            <v>OPERADOR LOGÍSTICO</v>
          </cell>
          <cell r="AD52" t="str">
            <v>OPERADOR LOGÍSTICO</v>
          </cell>
          <cell r="AE52" t="str">
            <v>OPERADOR LOGÍSTICO</v>
          </cell>
          <cell r="AF52">
            <v>1997464.70588235</v>
          </cell>
          <cell r="AG52">
            <v>379518.29411764699</v>
          </cell>
          <cell r="AH52">
            <v>2376983</v>
          </cell>
          <cell r="AI52" t="str">
            <v>OPERADOR LOGÍSTICO</v>
          </cell>
          <cell r="AJ52" t="str">
            <v>OPERADOR LOGÍSTICO</v>
          </cell>
          <cell r="AK52" t="str">
            <v>OPERADOR LOGÍSTICO</v>
          </cell>
          <cell r="AL52" t="str">
            <v>OPERADOR LOGÍSTICO</v>
          </cell>
          <cell r="AM52" t="str">
            <v>FUNCAS</v>
          </cell>
          <cell r="AN52" t="str">
            <v>OPERADOR LOGÍSTICO</v>
          </cell>
          <cell r="AO52" t="str">
            <v>OPERADOR LOGÍSTICO</v>
          </cell>
          <cell r="AP52" t="str">
            <v>OPERADOR LOGÍSTICO</v>
          </cell>
          <cell r="AQ52">
            <v>1986868</v>
          </cell>
          <cell r="AR52">
            <v>377505</v>
          </cell>
          <cell r="AS52">
            <v>2364373</v>
          </cell>
          <cell r="AT52">
            <v>1986868</v>
          </cell>
          <cell r="AU52">
            <v>2364373</v>
          </cell>
          <cell r="AV52">
            <v>2180919</v>
          </cell>
          <cell r="AW52">
            <v>2180919</v>
          </cell>
          <cell r="AX52" t="str">
            <v/>
          </cell>
          <cell r="AY52">
            <v>3.8E-3</v>
          </cell>
        </row>
        <row r="53">
          <cell r="D53" t="str">
            <v>Alquiler sobretarima 6 x 6</v>
          </cell>
          <cell r="E53" t="str">
            <v>ALQUILER DE SOBRETARIMA DE 6X6 (ALTURA MODULAR ENTRE 0.20 Y 0.80) CON ALFOMBRA Y LAS ESCALERAS RESPECTIVAS   INCLUYE INSTALACIÓN, TRANSPORTE Y ENTREGA EN EL LUGAR REQUERIDO, MONTAJE Y DESMONTAJE DE LA MISMA  (JORNADA POR EVENTO O DÍA)</v>
          </cell>
          <cell r="F53" t="str">
            <v>SERVICIO</v>
          </cell>
          <cell r="G53">
            <v>1</v>
          </cell>
          <cell r="Q53" t="str">
            <v> </v>
          </cell>
          <cell r="R53" t="str">
            <v> </v>
          </cell>
          <cell r="S53" t="str">
            <v> </v>
          </cell>
          <cell r="T53" t="str">
            <v> </v>
          </cell>
          <cell r="U53" t="str">
            <v> </v>
          </cell>
          <cell r="V53" t="str">
            <v>OPERADOR LOGÍSTICO</v>
          </cell>
          <cell r="W53" t="str">
            <v>OPERADOR LOGÍSTICO</v>
          </cell>
          <cell r="X53" t="str">
            <v>OPERADOR LOGÍSTICO</v>
          </cell>
          <cell r="Y53" t="str">
            <v>OPERADOR LOGÍSTICO</v>
          </cell>
          <cell r="Z53" t="str">
            <v>Estimación de precios con base en el proceso FDLSUBA-LP-013-2025 (140689) – Contrato 1000 – 2025, indexando el incremento de precios en el mercado con base en el Índice de Precios al Consumidor (IPC) para el mes de marzo de 2026, el cual fue de 5,56%.</v>
          </cell>
          <cell r="AA53" t="str">
            <v>OPERADOR LOGÍSTICO</v>
          </cell>
          <cell r="AB53" t="str">
            <v>OPERADOR LOGÍSTICO</v>
          </cell>
          <cell r="AC53" t="str">
            <v>OPERADOR LOGÍSTICO</v>
          </cell>
          <cell r="AD53" t="str">
            <v>OPERADOR LOGÍSTICO</v>
          </cell>
          <cell r="AE53" t="str">
            <v>OPERADOR LOGÍSTICO</v>
          </cell>
          <cell r="AF53">
            <v>2363376.4705882398</v>
          </cell>
          <cell r="AG53">
            <v>449041.52941176458</v>
          </cell>
          <cell r="AH53">
            <v>2812418</v>
          </cell>
          <cell r="AI53" t="str">
            <v>OPERADOR LOGÍSTICO</v>
          </cell>
          <cell r="AJ53" t="str">
            <v>OPERADOR LOGÍSTICO</v>
          </cell>
          <cell r="AK53" t="str">
            <v>OPERADOR LOGÍSTICO</v>
          </cell>
          <cell r="AL53" t="str">
            <v>OPERADOR LOGÍSTICO</v>
          </cell>
          <cell r="AM53" t="str">
            <v>FUNCAS</v>
          </cell>
          <cell r="AN53" t="str">
            <v>OPERADOR LOGÍSTICO</v>
          </cell>
          <cell r="AO53" t="str">
            <v>OPERADOR LOGÍSTICO</v>
          </cell>
          <cell r="AP53" t="str">
            <v>OPERADOR LOGÍSTICO</v>
          </cell>
          <cell r="AQ53">
            <v>2350838</v>
          </cell>
          <cell r="AR53">
            <v>446659</v>
          </cell>
          <cell r="AS53">
            <v>2797498</v>
          </cell>
          <cell r="AT53">
            <v>2350838</v>
          </cell>
          <cell r="AU53">
            <v>2797498</v>
          </cell>
          <cell r="AV53">
            <v>2580437</v>
          </cell>
          <cell r="AW53">
            <v>2580437</v>
          </cell>
          <cell r="AX53" t="str">
            <v/>
          </cell>
          <cell r="AY53">
            <v>3.8E-3</v>
          </cell>
        </row>
        <row r="54">
          <cell r="D54" t="str">
            <v>Alquiler Sonido 1000 w 6 a 8 horas</v>
          </cell>
          <cell r="E54" t="str">
            <v>Alquiler de Sonido de 1000 watios con operario por un periodo de 6 a 8 horas 2 cabinas de sonido, 2 trípodes para cabinas, sistema de monitoreo, set de micrófono, 1 consola de sonido.</v>
          </cell>
          <cell r="F54" t="str">
            <v>Unidad</v>
          </cell>
          <cell r="G54">
            <v>1</v>
          </cell>
          <cell r="H54" t="str">
            <v>Alquiler</v>
          </cell>
          <cell r="I54" t="str">
            <v>Michael Bautista</v>
          </cell>
          <cell r="J54">
            <v>46056</v>
          </cell>
          <cell r="K54" t="str">
            <v>D&amp;R PRODUCCIONES_13_03_26.pdf</v>
          </cell>
          <cell r="L54" t="str">
            <v>Gestión</v>
          </cell>
          <cell r="M54" t="str">
            <v>D&amp;R PRODUCCIONES SAS</v>
          </cell>
          <cell r="N54">
            <v>1050000</v>
          </cell>
          <cell r="O54" t="str">
            <v>Precio sin Iva</v>
          </cell>
          <cell r="P54" t="str">
            <v>Si tiene IVA</v>
          </cell>
          <cell r="Q54">
            <v>1050000</v>
          </cell>
          <cell r="R54">
            <v>199500</v>
          </cell>
          <cell r="S54">
            <v>1249500</v>
          </cell>
          <cell r="T54">
            <v>1050000</v>
          </cell>
          <cell r="U54">
            <v>1249500</v>
          </cell>
          <cell r="V54" t="str">
            <v>Michael Bautista</v>
          </cell>
          <cell r="W54">
            <v>46070</v>
          </cell>
          <cell r="X54" t="str">
            <v>ACTIVA2_EVENTOS_20_03.pdf</v>
          </cell>
          <cell r="Y54" t="str">
            <v>Gestión</v>
          </cell>
          <cell r="Z54" t="str">
            <v>ACTIVO2 EVENTOS</v>
          </cell>
          <cell r="AA54">
            <v>1500000</v>
          </cell>
          <cell r="AB54" t="str">
            <v>Precio sin Iva</v>
          </cell>
          <cell r="AC54" t="str">
            <v>Si tiene IVA</v>
          </cell>
          <cell r="AD54">
            <v>1500000</v>
          </cell>
          <cell r="AE54">
            <v>285000</v>
          </cell>
          <cell r="AF54">
            <v>1785000</v>
          </cell>
          <cell r="AG54">
            <v>1500000</v>
          </cell>
          <cell r="AH54">
            <v>1785000</v>
          </cell>
          <cell r="AI54" t="str">
            <v>Michael Bautista</v>
          </cell>
          <cell r="AJ54">
            <v>46105</v>
          </cell>
          <cell r="AK54" t="str">
            <v>EFECTO_MASIVO_24_03.pdf</v>
          </cell>
          <cell r="AL54" t="str">
            <v>Gestión</v>
          </cell>
          <cell r="AM54" t="str">
            <v>EFECTO_MASIVO</v>
          </cell>
          <cell r="AN54">
            <v>1260504</v>
          </cell>
          <cell r="AO54" t="str">
            <v>Precio sin Iva</v>
          </cell>
          <cell r="AP54" t="str">
            <v>Si tiene IVA</v>
          </cell>
          <cell r="AQ54">
            <v>1260504</v>
          </cell>
          <cell r="AR54">
            <v>239495.76</v>
          </cell>
          <cell r="AS54">
            <v>1499999.76</v>
          </cell>
          <cell r="AT54">
            <v>1260504</v>
          </cell>
          <cell r="AU54">
            <v>1499999.76</v>
          </cell>
          <cell r="AV54">
            <v>1511500</v>
          </cell>
          <cell r="AW54">
            <v>1511500</v>
          </cell>
          <cell r="AX54">
            <v>267935</v>
          </cell>
          <cell r="AY54">
            <v>0.17726430697982101</v>
          </cell>
          <cell r="BA54">
            <v>3</v>
          </cell>
        </row>
        <row r="55">
          <cell r="D55" t="str">
            <v>Alquiler Sonido 1000 w 8 a 12 horas</v>
          </cell>
          <cell r="E55" t="str">
            <v>Alquiler de Sonido de 1000 watios con operario por un periodo de 8 a 12 horas 2 cabinas de sonido, 2 trípodes para cabinas, sistema de monitoreo, set de micrófono, 1 consola de sonido.</v>
          </cell>
          <cell r="F55" t="str">
            <v>Unidad</v>
          </cell>
          <cell r="G55">
            <v>1</v>
          </cell>
          <cell r="H55" t="str">
            <v>Alquiler</v>
          </cell>
          <cell r="I55" t="str">
            <v>Michael Bautista</v>
          </cell>
          <cell r="J55">
            <v>46056</v>
          </cell>
          <cell r="K55" t="str">
            <v>D&amp;R PRODUCCIONES_13_03_26.pdf</v>
          </cell>
          <cell r="L55" t="str">
            <v>Gestión</v>
          </cell>
          <cell r="M55" t="str">
            <v>D&amp;R PRODUCCIONES SAS</v>
          </cell>
          <cell r="N55">
            <v>1050000</v>
          </cell>
          <cell r="O55" t="str">
            <v>Precio sin Iva</v>
          </cell>
          <cell r="P55" t="str">
            <v>Si tiene IVA</v>
          </cell>
          <cell r="Q55">
            <v>1050000</v>
          </cell>
          <cell r="R55">
            <v>199500</v>
          </cell>
          <cell r="S55">
            <v>1249500</v>
          </cell>
          <cell r="T55">
            <v>1050000</v>
          </cell>
          <cell r="U55">
            <v>1249500</v>
          </cell>
          <cell r="V55" t="str">
            <v>Michael Bautista</v>
          </cell>
          <cell r="W55">
            <v>46070</v>
          </cell>
          <cell r="X55" t="str">
            <v>ACTIVA2_EVENTOS_20_03.pdf</v>
          </cell>
          <cell r="Y55" t="str">
            <v>Gestión</v>
          </cell>
          <cell r="Z55" t="str">
            <v>ACTIVO2 EVENTOS</v>
          </cell>
          <cell r="AA55">
            <v>1500000</v>
          </cell>
          <cell r="AB55" t="str">
            <v>Precio sin Iva</v>
          </cell>
          <cell r="AC55" t="str">
            <v>Si tiene IVA</v>
          </cell>
          <cell r="AD55">
            <v>1500000</v>
          </cell>
          <cell r="AE55">
            <v>285000</v>
          </cell>
          <cell r="AF55">
            <v>1785000</v>
          </cell>
          <cell r="AG55">
            <v>1500000</v>
          </cell>
          <cell r="AH55">
            <v>1785000</v>
          </cell>
          <cell r="AI55" t="str">
            <v>Michael Bautista</v>
          </cell>
          <cell r="AJ55">
            <v>46105</v>
          </cell>
          <cell r="AK55" t="str">
            <v>EFECTO_MASIVO_24_03.pdf</v>
          </cell>
          <cell r="AL55" t="str">
            <v>Gestión</v>
          </cell>
          <cell r="AM55" t="str">
            <v>EFECTO_MASIVO</v>
          </cell>
          <cell r="AN55">
            <v>1260504</v>
          </cell>
          <cell r="AO55" t="str">
            <v>Precio sin Iva</v>
          </cell>
          <cell r="AP55" t="str">
            <v>Si tiene IVA</v>
          </cell>
          <cell r="AQ55">
            <v>1260504</v>
          </cell>
          <cell r="AR55">
            <v>239495.76</v>
          </cell>
          <cell r="AS55">
            <v>1499999.76</v>
          </cell>
          <cell r="AT55">
            <v>1260504</v>
          </cell>
          <cell r="AU55">
            <v>1499999.76</v>
          </cell>
          <cell r="AV55">
            <v>1511500</v>
          </cell>
          <cell r="AW55">
            <v>1511500</v>
          </cell>
          <cell r="AX55">
            <v>267935</v>
          </cell>
          <cell r="AY55">
            <v>0.17726430697982101</v>
          </cell>
          <cell r="BA55">
            <v>3</v>
          </cell>
        </row>
        <row r="56">
          <cell r="D56" t="str">
            <v>Alquiler sonido 13.000 WATTS</v>
          </cell>
          <cell r="E56" t="str">
            <v>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v>
          </cell>
          <cell r="F56" t="str">
            <v>Unidad</v>
          </cell>
          <cell r="G56">
            <v>1</v>
          </cell>
          <cell r="H56" t="str">
            <v>Alquiler</v>
          </cell>
          <cell r="I56" t="str">
            <v>Luz Jimenez</v>
          </cell>
          <cell r="J56">
            <v>46134</v>
          </cell>
          <cell r="K56" t="str">
            <v>D&amp;R PRODUCCIONES_LOGISTICA_VARIOS_13-03-2026.pdf</v>
          </cell>
          <cell r="L56" t="str">
            <v>Gestión</v>
          </cell>
          <cell r="M56" t="str">
            <v>D&amp;R PRODUCCIONES SAS</v>
          </cell>
          <cell r="N56">
            <v>4590000</v>
          </cell>
          <cell r="O56" t="str">
            <v>Precio sin Iva</v>
          </cell>
          <cell r="P56" t="str">
            <v>Si tiene IVA</v>
          </cell>
          <cell r="Q56">
            <v>4590000</v>
          </cell>
          <cell r="R56">
            <v>872100</v>
          </cell>
          <cell r="S56">
            <v>5462100</v>
          </cell>
          <cell r="T56">
            <v>4590000</v>
          </cell>
          <cell r="U56">
            <v>5462100</v>
          </cell>
          <cell r="V56" t="str">
            <v>Luz Jimenez</v>
          </cell>
          <cell r="W56">
            <v>46134</v>
          </cell>
          <cell r="X56" t="str">
            <v>LOGISTBOX L&amp;L SAS.pdf</v>
          </cell>
          <cell r="Y56" t="str">
            <v>Gestión</v>
          </cell>
          <cell r="Z56" t="str">
            <v>LOGISTBOX L&amp;L SAS</v>
          </cell>
          <cell r="AA56">
            <v>4550000</v>
          </cell>
          <cell r="AB56" t="str">
            <v>IVA incluido</v>
          </cell>
          <cell r="AC56" t="str">
            <v>Si tiene IVA</v>
          </cell>
          <cell r="AD56">
            <v>3823529.4117647102</v>
          </cell>
          <cell r="AE56">
            <v>726470.5882352941</v>
          </cell>
          <cell r="AF56">
            <v>4550000</v>
          </cell>
          <cell r="AG56">
            <v>4550000</v>
          </cell>
          <cell r="AH56">
            <v>4550000</v>
          </cell>
          <cell r="AV56">
            <v>5006050</v>
          </cell>
          <cell r="AW56">
            <v>5006050</v>
          </cell>
          <cell r="AX56">
            <v>644952</v>
          </cell>
          <cell r="AY56">
            <v>0.128834510242606</v>
          </cell>
          <cell r="BA56">
            <v>2</v>
          </cell>
        </row>
        <row r="57">
          <cell r="D57" t="str">
            <v>Alquiler sonido 2.000 Watts</v>
          </cell>
          <cell r="E57" t="str">
            <v>ALQUILER DE SONIDO DE 2000 WATTS
INCLUYE 2 CABINAS, 1 CONSOLA, 1  UNIDAD LECTORA DE DVD, MICRÓFONO ALÁMBRICO E INALÁMBRICO, BASE  PARA MICRÓFONO, TRÍPODES PARA CABINA Y 1 TÉCNICO DE SONIDO, CABLES  Y CONEXIONES - TIEMPO DE ALQUILER 1 DÍA. INSTALACIÓN, TRANSPORTE  Y DESINSTALACIÓN</v>
          </cell>
          <cell r="F57" t="str">
            <v>SERVICIO</v>
          </cell>
          <cell r="G57">
            <v>1</v>
          </cell>
          <cell r="Q57" t="str">
            <v> </v>
          </cell>
          <cell r="R57" t="str">
            <v> </v>
          </cell>
          <cell r="S57" t="str">
            <v> </v>
          </cell>
          <cell r="T57" t="str">
            <v> </v>
          </cell>
          <cell r="U57" t="str">
            <v> </v>
          </cell>
          <cell r="V57" t="str">
            <v>OPERADOR LOGÍSTICO</v>
          </cell>
          <cell r="W57" t="str">
            <v>OPERADOR LOGÍSTICO</v>
          </cell>
          <cell r="X57" t="str">
            <v>OPERADOR LOGÍSTICO</v>
          </cell>
          <cell r="Y57" t="str">
            <v>OPERADOR LOGÍSTICO</v>
          </cell>
          <cell r="Z57" t="str">
            <v>Estimación de precios con base en el proceso FDLSUBA-LP-013-2025 (140689) – Contrato 1000 – 2025, indexando el incremento de precios en el mercado con base en el Índice de Precios al Consumidor (IPC) para el mes de marzo de 2026, el cual fue de 5,56%.</v>
          </cell>
          <cell r="AA57" t="str">
            <v>OPERADOR LOGÍSTICO</v>
          </cell>
          <cell r="AB57" t="str">
            <v>OPERADOR LOGÍSTICO</v>
          </cell>
          <cell r="AC57" t="str">
            <v>OPERADOR LOGÍSTICO</v>
          </cell>
          <cell r="AD57" t="str">
            <v>OPERADOR LOGÍSTICO</v>
          </cell>
          <cell r="AE57" t="str">
            <v>OPERADOR LOGÍSTICO</v>
          </cell>
          <cell r="AF57">
            <v>2692327.73109244</v>
          </cell>
          <cell r="AG57">
            <v>511542.26890756312</v>
          </cell>
          <cell r="AH57">
            <v>3203870</v>
          </cell>
          <cell r="AI57" t="str">
            <v>OPERADOR LOGÍSTICO</v>
          </cell>
          <cell r="AJ57" t="str">
            <v>OPERADOR LOGÍSTICO</v>
          </cell>
          <cell r="AK57" t="str">
            <v>OPERADOR LOGÍSTICO</v>
          </cell>
          <cell r="AL57" t="str">
            <v>OPERADOR LOGÍSTICO</v>
          </cell>
          <cell r="AM57" t="str">
            <v>FUNCAS</v>
          </cell>
          <cell r="AN57" t="str">
            <v>OPERADOR LOGÍSTICO</v>
          </cell>
          <cell r="AO57" t="str">
            <v>OPERADOR LOGÍSTICO</v>
          </cell>
          <cell r="AP57" t="str">
            <v>OPERADOR LOGÍSTICO</v>
          </cell>
          <cell r="AQ57">
            <v>2601529</v>
          </cell>
          <cell r="AR57">
            <v>494290</v>
          </cell>
          <cell r="AS57">
            <v>3095819</v>
          </cell>
          <cell r="AT57">
            <v>2601529</v>
          </cell>
          <cell r="AU57">
            <v>3095819</v>
          </cell>
          <cell r="AV57">
            <v>2894073</v>
          </cell>
          <cell r="AW57">
            <v>2894073</v>
          </cell>
          <cell r="AX57" t="str">
            <v/>
          </cell>
          <cell r="AY57">
            <v>2.4299999999999999E-2</v>
          </cell>
        </row>
        <row r="58">
          <cell r="D58" t="str">
            <v>Alquiler Sonido 2000 w 6 a 8 horas</v>
          </cell>
          <cell r="E58" t="str">
            <v>Alquiler de Sonido de 2000 watios con operario por un periodo de 6 a 8 horas 2 cabinas de sonido, 2 trípodes para cabinas, sistema de monitoreo, set de micrófono, 1 consola de sonido.</v>
          </cell>
          <cell r="F58" t="str">
            <v>Unidad</v>
          </cell>
          <cell r="G58">
            <v>1</v>
          </cell>
          <cell r="H58" t="str">
            <v>Alquiler</v>
          </cell>
          <cell r="I58" t="str">
            <v>Michael Bautista</v>
          </cell>
          <cell r="J58">
            <v>46056</v>
          </cell>
          <cell r="K58" t="str">
            <v>D&amp;R PRODUCCIONES_13_03_26.pdf</v>
          </cell>
          <cell r="L58" t="str">
            <v>Gestión</v>
          </cell>
          <cell r="M58" t="str">
            <v>D&amp;R PRODUCCIONES SAS</v>
          </cell>
          <cell r="N58">
            <v>1650000</v>
          </cell>
          <cell r="O58" t="str">
            <v>Precio sin Iva</v>
          </cell>
          <cell r="P58" t="str">
            <v>Si tiene IVA</v>
          </cell>
          <cell r="Q58">
            <v>1650000</v>
          </cell>
          <cell r="R58">
            <v>313500</v>
          </cell>
          <cell r="S58">
            <v>1963500</v>
          </cell>
          <cell r="T58">
            <v>1650000</v>
          </cell>
          <cell r="U58">
            <v>1963500</v>
          </cell>
          <cell r="V58" t="str">
            <v xml:space="preserve">Michael Bautista </v>
          </cell>
          <cell r="W58">
            <v>46070</v>
          </cell>
          <cell r="X58" t="str">
            <v>ACTIVA2_EVENTOS_20_03.pdf</v>
          </cell>
          <cell r="Y58" t="str">
            <v>Gestión</v>
          </cell>
          <cell r="Z58" t="str">
            <v>ACTIVO2 EVENTOS</v>
          </cell>
          <cell r="AA58">
            <v>2000000</v>
          </cell>
          <cell r="AB58" t="str">
            <v>Precio sin Iva</v>
          </cell>
          <cell r="AC58" t="str">
            <v>Si tiene IVA</v>
          </cell>
          <cell r="AD58">
            <v>2000000</v>
          </cell>
          <cell r="AE58">
            <v>380000</v>
          </cell>
          <cell r="AF58">
            <v>2380000</v>
          </cell>
          <cell r="AG58">
            <v>2000000</v>
          </cell>
          <cell r="AH58">
            <v>2380000</v>
          </cell>
          <cell r="AI58" t="str">
            <v>Michael Bautista</v>
          </cell>
          <cell r="AJ58">
            <v>46105</v>
          </cell>
          <cell r="AK58" t="str">
            <v>EFECTO_MASIVO_24_03.pdf</v>
          </cell>
          <cell r="AL58" t="str">
            <v>Gestión</v>
          </cell>
          <cell r="AM58" t="str">
            <v>EFECTO_MASIVO</v>
          </cell>
          <cell r="AN58">
            <v>1680672</v>
          </cell>
          <cell r="AO58" t="str">
            <v>Precio sin Iva</v>
          </cell>
          <cell r="AP58" t="str">
            <v>Si tiene IVA</v>
          </cell>
          <cell r="AQ58">
            <v>1680672</v>
          </cell>
          <cell r="AR58">
            <v>319327.68</v>
          </cell>
          <cell r="AS58">
            <v>1999999.68</v>
          </cell>
          <cell r="AT58">
            <v>1680672</v>
          </cell>
          <cell r="AU58">
            <v>1999999.68</v>
          </cell>
          <cell r="AV58">
            <v>2114500</v>
          </cell>
          <cell r="AW58">
            <v>2114500</v>
          </cell>
          <cell r="AX58">
            <v>230653</v>
          </cell>
          <cell r="AY58">
            <v>0.109081579569638</v>
          </cell>
          <cell r="BA58">
            <v>3</v>
          </cell>
        </row>
        <row r="59">
          <cell r="D59" t="str">
            <v>Alquiler Sonido 2000 w 8 a 12 horas</v>
          </cell>
          <cell r="E59" t="str">
            <v>Alquiler de Sonido de 2000 watios con operario por un periodo de 8 a 12 horas 2 cabinas de sonido, 2 trípodes para cabinas, sistema de monitoreo, set de micrófono, 1 consola de sonido.</v>
          </cell>
          <cell r="F59" t="str">
            <v>Unidad</v>
          </cell>
          <cell r="G59">
            <v>1</v>
          </cell>
          <cell r="H59" t="str">
            <v>Alquiler</v>
          </cell>
          <cell r="I59" t="str">
            <v>Michael Bautista</v>
          </cell>
          <cell r="J59">
            <v>46056</v>
          </cell>
          <cell r="K59" t="str">
            <v>D&amp;R PRODUCCIONES_13_03_26.pdf</v>
          </cell>
          <cell r="L59" t="str">
            <v>Gestión</v>
          </cell>
          <cell r="M59" t="str">
            <v>D&amp;R PRODUCCIONES SAS</v>
          </cell>
          <cell r="N59">
            <v>1650000</v>
          </cell>
          <cell r="O59" t="str">
            <v>Precio sin Iva</v>
          </cell>
          <cell r="P59" t="str">
            <v>Si tiene IVA</v>
          </cell>
          <cell r="Q59">
            <v>1650000</v>
          </cell>
          <cell r="R59">
            <v>313500</v>
          </cell>
          <cell r="S59">
            <v>1963500</v>
          </cell>
          <cell r="T59">
            <v>1650000</v>
          </cell>
          <cell r="U59">
            <v>1963500</v>
          </cell>
          <cell r="V59" t="str">
            <v>Michael Bautista</v>
          </cell>
          <cell r="W59">
            <v>46070</v>
          </cell>
          <cell r="X59" t="str">
            <v>ACTIVA2_EVENTOS_20_03.pdf</v>
          </cell>
          <cell r="Y59" t="str">
            <v>Gestión</v>
          </cell>
          <cell r="Z59" t="str">
            <v>ACTIVO2 EVENTOS</v>
          </cell>
          <cell r="AA59">
            <v>2000000</v>
          </cell>
          <cell r="AB59" t="str">
            <v>Precio sin Iva</v>
          </cell>
          <cell r="AC59" t="str">
            <v>Si tiene IVA</v>
          </cell>
          <cell r="AD59">
            <v>2000000</v>
          </cell>
          <cell r="AE59">
            <v>380000</v>
          </cell>
          <cell r="AF59">
            <v>2380000</v>
          </cell>
          <cell r="AG59">
            <v>2000000</v>
          </cell>
          <cell r="AH59">
            <v>2380000</v>
          </cell>
          <cell r="AI59" t="str">
            <v>Michael Bautista</v>
          </cell>
          <cell r="AJ59">
            <v>46105</v>
          </cell>
          <cell r="AK59" t="str">
            <v>EFECTO_MASIVO_24_03.pdf</v>
          </cell>
          <cell r="AL59" t="str">
            <v>Gestión</v>
          </cell>
          <cell r="AM59" t="str">
            <v>EFECTO_MASIVO</v>
          </cell>
          <cell r="AN59">
            <v>1680672</v>
          </cell>
          <cell r="AO59" t="str">
            <v>Precio sin Iva</v>
          </cell>
          <cell r="AP59" t="str">
            <v>Si tiene IVA</v>
          </cell>
          <cell r="AQ59">
            <v>1680672</v>
          </cell>
          <cell r="AR59">
            <v>319327.68</v>
          </cell>
          <cell r="AS59">
            <v>1999999.68</v>
          </cell>
          <cell r="AT59">
            <v>1680672</v>
          </cell>
          <cell r="AU59">
            <v>1999999.68</v>
          </cell>
          <cell r="AV59">
            <v>2114500</v>
          </cell>
          <cell r="AW59">
            <v>2114500</v>
          </cell>
          <cell r="AX59">
            <v>230653</v>
          </cell>
          <cell r="AY59">
            <v>0.109081579569638</v>
          </cell>
          <cell r="BA59">
            <v>3</v>
          </cell>
        </row>
        <row r="60">
          <cell r="D60" t="str">
            <v>Alquiler Sonido 2000 w completo 8 a 12 horas</v>
          </cell>
          <cell r="E60" t="str">
            <v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v>
          </cell>
          <cell r="F60" t="str">
            <v>Unidad</v>
          </cell>
          <cell r="G60">
            <v>1</v>
          </cell>
          <cell r="H60" t="str">
            <v>Alquiler</v>
          </cell>
          <cell r="I60" t="str">
            <v>Michael Bautista</v>
          </cell>
          <cell r="J60">
            <v>46056</v>
          </cell>
          <cell r="K60" t="str">
            <v>D&amp;R PRODUCCIONES_13_03_26.pdf</v>
          </cell>
          <cell r="L60" t="str">
            <v>Gestión</v>
          </cell>
          <cell r="M60" t="str">
            <v>D&amp;R PRODUCCIONES SAS</v>
          </cell>
          <cell r="N60">
            <v>2150000</v>
          </cell>
          <cell r="O60" t="str">
            <v>Precio sin Iva</v>
          </cell>
          <cell r="P60" t="str">
            <v>Si tiene IVA</v>
          </cell>
          <cell r="Q60">
            <v>2150000</v>
          </cell>
          <cell r="R60">
            <v>408500</v>
          </cell>
          <cell r="S60">
            <v>2558500</v>
          </cell>
          <cell r="T60">
            <v>2150000</v>
          </cell>
          <cell r="U60">
            <v>2558500</v>
          </cell>
          <cell r="V60" t="str">
            <v>Michael Bautista</v>
          </cell>
          <cell r="W60">
            <v>46070</v>
          </cell>
          <cell r="X60" t="str">
            <v>ACTIVA2_EVENTOS_20_03.pdf</v>
          </cell>
          <cell r="Y60" t="str">
            <v>Gestión</v>
          </cell>
          <cell r="Z60" t="str">
            <v>ACTIVO2 EVENTOS</v>
          </cell>
          <cell r="AA60">
            <v>3000000</v>
          </cell>
          <cell r="AB60" t="str">
            <v>Precio sin Iva</v>
          </cell>
          <cell r="AC60" t="str">
            <v>Si tiene IVA</v>
          </cell>
          <cell r="AD60">
            <v>3000000</v>
          </cell>
          <cell r="AE60">
            <v>570000</v>
          </cell>
          <cell r="AF60">
            <v>3570000</v>
          </cell>
          <cell r="AG60">
            <v>3000000</v>
          </cell>
          <cell r="AH60">
            <v>3570000</v>
          </cell>
          <cell r="AI60" t="str">
            <v>Michael Bautista</v>
          </cell>
          <cell r="AJ60">
            <v>46105</v>
          </cell>
          <cell r="AK60" t="str">
            <v>EFECTO_MASIVO_24_03.pdf</v>
          </cell>
          <cell r="AL60" t="str">
            <v>Gestión</v>
          </cell>
          <cell r="AM60" t="str">
            <v>EFECTO_MASIVO</v>
          </cell>
          <cell r="AN60">
            <v>2521008</v>
          </cell>
          <cell r="AO60" t="str">
            <v>Precio sin Iva</v>
          </cell>
          <cell r="AP60" t="str">
            <v>Si tiene IVA</v>
          </cell>
          <cell r="AQ60">
            <v>2521008</v>
          </cell>
          <cell r="AR60">
            <v>478991.52</v>
          </cell>
          <cell r="AS60">
            <v>2999999.52</v>
          </cell>
          <cell r="AT60">
            <v>2521008</v>
          </cell>
          <cell r="AU60">
            <v>2999999.52</v>
          </cell>
          <cell r="AV60">
            <v>3042833</v>
          </cell>
          <cell r="AW60">
            <v>3042833</v>
          </cell>
          <cell r="AX60">
            <v>507109</v>
          </cell>
          <cell r="AY60">
            <v>0.16665686220702899</v>
          </cell>
          <cell r="BA60">
            <v>3</v>
          </cell>
        </row>
        <row r="61">
          <cell r="D61" t="str">
            <v>Alquiler sonido 4.000 Watts</v>
          </cell>
          <cell r="E61" t="str">
            <v>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v>
          </cell>
          <cell r="F61" t="str">
            <v>SERVICIO</v>
          </cell>
          <cell r="G61">
            <v>1</v>
          </cell>
          <cell r="Q61" t="str">
            <v> </v>
          </cell>
          <cell r="R61" t="str">
            <v> </v>
          </cell>
          <cell r="S61" t="str">
            <v> </v>
          </cell>
          <cell r="T61" t="str">
            <v> </v>
          </cell>
          <cell r="U61" t="str">
            <v> </v>
          </cell>
          <cell r="V61" t="str">
            <v>OPERADOR LOGÍSTICO</v>
          </cell>
          <cell r="W61" t="str">
            <v>OPERADOR LOGÍSTICO</v>
          </cell>
          <cell r="X61" t="str">
            <v>OPERADOR LOGÍSTICO</v>
          </cell>
          <cell r="Y61" t="str">
            <v>OPERADOR LOGÍSTICO</v>
          </cell>
          <cell r="Z61" t="str">
            <v>Estimación de precios con base en el proceso FDLSUBA-LP-013-2025 (140689) – Contrato 1000 – 2025, indexando el incremento de precios en el mercado con base en el Índice de Precios al Consumidor (IPC) para el mes de marzo de 2026, el cual fue de 5,56%.</v>
          </cell>
          <cell r="AA61" t="str">
            <v>OPERADOR LOGÍSTICO</v>
          </cell>
          <cell r="AB61" t="str">
            <v>OPERADOR LOGÍSTICO</v>
          </cell>
          <cell r="AC61" t="str">
            <v>OPERADOR LOGÍSTICO</v>
          </cell>
          <cell r="AD61" t="str">
            <v>OPERADOR LOGÍSTICO</v>
          </cell>
          <cell r="AE61" t="str">
            <v>OPERADOR LOGÍSTICO</v>
          </cell>
          <cell r="AF61">
            <v>4425640.3361344496</v>
          </cell>
          <cell r="AG61">
            <v>840871.66386554635</v>
          </cell>
          <cell r="AH61">
            <v>5266512</v>
          </cell>
          <cell r="AI61" t="str">
            <v>OPERADOR LOGÍSTICO</v>
          </cell>
          <cell r="AJ61" t="str">
            <v>OPERADOR LOGÍSTICO</v>
          </cell>
          <cell r="AK61" t="str">
            <v>OPERADOR LOGÍSTICO</v>
          </cell>
          <cell r="AL61" t="str">
            <v>OPERADOR LOGÍSTICO</v>
          </cell>
          <cell r="AM61" t="str">
            <v>FUNCAS</v>
          </cell>
          <cell r="AN61" t="str">
            <v>OPERADOR LOGÍSTICO</v>
          </cell>
          <cell r="AO61" t="str">
            <v>OPERADOR LOGÍSTICO</v>
          </cell>
          <cell r="AP61" t="str">
            <v>OPERADOR LOGÍSTICO</v>
          </cell>
          <cell r="AQ61">
            <v>4276386</v>
          </cell>
          <cell r="AR61">
            <v>812513</v>
          </cell>
          <cell r="AS61">
            <v>5088899</v>
          </cell>
          <cell r="AT61">
            <v>4276386</v>
          </cell>
          <cell r="AU61">
            <v>5088899</v>
          </cell>
          <cell r="AV61">
            <v>4757270</v>
          </cell>
          <cell r="AW61">
            <v>4757270</v>
          </cell>
          <cell r="AX61" t="str">
            <v/>
          </cell>
          <cell r="AY61">
            <v>2.4299999999999999E-2</v>
          </cell>
        </row>
        <row r="62">
          <cell r="D62" t="str">
            <v>Alquiler sonido 6.000 Watts</v>
          </cell>
          <cell r="E62" t="str">
            <v>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v>
          </cell>
          <cell r="F62" t="str">
            <v>SERVICIO</v>
          </cell>
          <cell r="G62">
            <v>1</v>
          </cell>
          <cell r="Q62" t="str">
            <v> </v>
          </cell>
          <cell r="R62" t="str">
            <v> </v>
          </cell>
          <cell r="S62" t="str">
            <v> </v>
          </cell>
          <cell r="T62" t="str">
            <v> </v>
          </cell>
          <cell r="U62" t="str">
            <v> </v>
          </cell>
          <cell r="V62" t="str">
            <v>OPERADOR LOGÍSTICO</v>
          </cell>
          <cell r="W62" t="str">
            <v>OPERADOR LOGÍSTICO</v>
          </cell>
          <cell r="X62" t="str">
            <v>OPERADOR LOGÍSTICO</v>
          </cell>
          <cell r="Y62" t="str">
            <v>OPERADOR LOGÍSTICO</v>
          </cell>
          <cell r="Z62" t="str">
            <v>Estimación de precios con base en el proceso FDLSUBA-LP-013-2025 (140689) – Contrato 1000 – 2025, indexando el incremento de precios en el mercado con base en el Índice de Precios al Consumidor (IPC) para el mes de marzo de 2026, el cual fue de 5,56%.</v>
          </cell>
          <cell r="AA62" t="str">
            <v>OPERADOR LOGÍSTICO</v>
          </cell>
          <cell r="AB62" t="str">
            <v>OPERADOR LOGÍSTICO</v>
          </cell>
          <cell r="AC62" t="str">
            <v>OPERADOR LOGÍSTICO</v>
          </cell>
          <cell r="AD62" t="str">
            <v>OPERADOR LOGÍSTICO</v>
          </cell>
          <cell r="AE62" t="str">
            <v>OPERADOR LOGÍSTICO</v>
          </cell>
          <cell r="AF62">
            <v>4790127.73109244</v>
          </cell>
          <cell r="AG62">
            <v>910124.26890756295</v>
          </cell>
          <cell r="AH62">
            <v>5700252</v>
          </cell>
          <cell r="AI62" t="str">
            <v>OPERADOR LOGÍSTICO</v>
          </cell>
          <cell r="AJ62" t="str">
            <v>OPERADOR LOGÍSTICO</v>
          </cell>
          <cell r="AK62" t="str">
            <v>OPERADOR LOGÍSTICO</v>
          </cell>
          <cell r="AL62" t="str">
            <v>OPERADOR LOGÍSTICO</v>
          </cell>
          <cell r="AM62" t="str">
            <v>FUNCAS</v>
          </cell>
          <cell r="AN62" t="str">
            <v>OPERADOR LOGÍSTICO</v>
          </cell>
          <cell r="AO62" t="str">
            <v>OPERADOR LOGÍSTICO</v>
          </cell>
          <cell r="AP62" t="str">
            <v>OPERADOR LOGÍSTICO</v>
          </cell>
          <cell r="AQ62">
            <v>4628581</v>
          </cell>
          <cell r="AR62">
            <v>879430</v>
          </cell>
          <cell r="AS62">
            <v>5508011</v>
          </cell>
          <cell r="AT62">
            <v>4628581</v>
          </cell>
          <cell r="AU62">
            <v>5508011</v>
          </cell>
          <cell r="AV62">
            <v>5149069</v>
          </cell>
          <cell r="AW62">
            <v>5149069</v>
          </cell>
          <cell r="AX62" t="str">
            <v/>
          </cell>
          <cell r="AY62">
            <v>2.4299999999999999E-2</v>
          </cell>
        </row>
        <row r="63">
          <cell r="D63" t="str">
            <v>Alquiler sonido 7.000 Watts</v>
          </cell>
          <cell r="E63" t="str">
            <v>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v>
          </cell>
          <cell r="F63" t="str">
            <v>SERVICIO</v>
          </cell>
          <cell r="G63">
            <v>1</v>
          </cell>
          <cell r="Q63" t="str">
            <v> </v>
          </cell>
          <cell r="R63" t="str">
            <v> </v>
          </cell>
          <cell r="S63" t="str">
            <v> </v>
          </cell>
          <cell r="T63" t="str">
            <v> </v>
          </cell>
          <cell r="U63" t="str">
            <v> </v>
          </cell>
          <cell r="V63" t="str">
            <v>OPERADOR LOGÍSTICO</v>
          </cell>
          <cell r="W63" t="str">
            <v>OPERADOR LOGÍSTICO</v>
          </cell>
          <cell r="X63" t="str">
            <v>OPERADOR LOGÍSTICO</v>
          </cell>
          <cell r="Y63" t="str">
            <v>OPERADOR LOGÍSTICO</v>
          </cell>
          <cell r="Z63" t="str">
            <v>Estimación de precios con base en el proceso FDLSUBA-LP-013-2025 (140689) – Contrato 1000 – 2025, indexando el incremento de precios en el mercado con base en el Índice de Precios al Consumidor (IPC) para el mes de marzo de 2026, el cual fue de 5,56%.</v>
          </cell>
          <cell r="AA63" t="str">
            <v>OPERADOR LOGÍSTICO</v>
          </cell>
          <cell r="AB63" t="str">
            <v>OPERADOR LOGÍSTICO</v>
          </cell>
          <cell r="AC63" t="str">
            <v>OPERADOR LOGÍSTICO</v>
          </cell>
          <cell r="AD63" t="str">
            <v>OPERADOR LOGÍSTICO</v>
          </cell>
          <cell r="AE63" t="str">
            <v>OPERADOR LOGÍSTICO</v>
          </cell>
          <cell r="AF63">
            <v>6741667.2268907595</v>
          </cell>
          <cell r="AG63">
            <v>1280916.77310924</v>
          </cell>
          <cell r="AH63">
            <v>8022584</v>
          </cell>
          <cell r="AI63" t="str">
            <v>OPERADOR LOGÍSTICO</v>
          </cell>
          <cell r="AJ63" t="str">
            <v>OPERADOR LOGÍSTICO</v>
          </cell>
          <cell r="AK63" t="str">
            <v>OPERADOR LOGÍSTICO</v>
          </cell>
          <cell r="AL63" t="str">
            <v>OPERADOR LOGÍSTICO</v>
          </cell>
          <cell r="AM63" t="str">
            <v>FUNCAS</v>
          </cell>
          <cell r="AN63" t="str">
            <v>OPERADOR LOGÍSTICO</v>
          </cell>
          <cell r="AO63" t="str">
            <v>OPERADOR LOGÍSTICO</v>
          </cell>
          <cell r="AP63" t="str">
            <v>OPERADOR LOGÍSTICO</v>
          </cell>
          <cell r="AQ63">
            <v>6705902</v>
          </cell>
          <cell r="AR63">
            <v>1274121</v>
          </cell>
          <cell r="AS63">
            <v>7980024</v>
          </cell>
          <cell r="AT63">
            <v>6705902</v>
          </cell>
          <cell r="AU63">
            <v>7980024</v>
          </cell>
          <cell r="AV63">
            <v>7360846</v>
          </cell>
          <cell r="AW63">
            <v>7360846</v>
          </cell>
          <cell r="AX63" t="str">
            <v/>
          </cell>
          <cell r="AY63">
            <v>3.8E-3</v>
          </cell>
        </row>
        <row r="64">
          <cell r="D64" t="str">
            <v>Alquiler tablero</v>
          </cell>
          <cell r="E64" t="str">
            <v>ALQUILER TABLERO ROMPETRÁFICO.
TABLERO ROMPETRÁFICO DOBLE CARA CON MARCO EN MADERA DE 15 CMS (LARGO) * 85 CMS (ANCHO)
(JORNADA ENTRE 4 Y HASTA 10 HORAS DÍA)</v>
          </cell>
          <cell r="F64" t="str">
            <v>SERVICIO</v>
          </cell>
          <cell r="G64">
            <v>1</v>
          </cell>
          <cell r="Q64" t="str">
            <v> </v>
          </cell>
          <cell r="R64" t="str">
            <v> </v>
          </cell>
          <cell r="S64" t="str">
            <v> </v>
          </cell>
          <cell r="T64" t="str">
            <v> </v>
          </cell>
          <cell r="U64" t="str">
            <v> </v>
          </cell>
          <cell r="V64" t="str">
            <v>OPERADOR LOGÍSTICO</v>
          </cell>
          <cell r="W64" t="str">
            <v>OPERADOR LOGÍSTICO</v>
          </cell>
          <cell r="X64" t="str">
            <v>OPERADOR LOGÍSTICO</v>
          </cell>
          <cell r="Y64" t="str">
            <v>OPERADOR LOGÍSTICO</v>
          </cell>
          <cell r="Z64" t="str">
            <v>Estimación de precios con base en el proceso FDLSUBA-LP-013-2025 (140689) – Contrato 1000 – 2025, indexando el incremento de precios en el mercado con base en el Índice de Precios al Consumidor (IPC) para el mes de marzo de 2026, el cual fue de 5,56%.</v>
          </cell>
          <cell r="AA64" t="str">
            <v>OPERADOR LOGÍSTICO</v>
          </cell>
          <cell r="AB64" t="str">
            <v>OPERADOR LOGÍSTICO</v>
          </cell>
          <cell r="AC64" t="str">
            <v>OPERADOR LOGÍSTICO</v>
          </cell>
          <cell r="AD64" t="str">
            <v>OPERADOR LOGÍSTICO</v>
          </cell>
          <cell r="AE64" t="str">
            <v>OPERADOR LOGÍSTICO</v>
          </cell>
          <cell r="AF64">
            <v>88516.806722689085</v>
          </cell>
          <cell r="AG64">
            <v>16818.193277310929</v>
          </cell>
          <cell r="AH64">
            <v>105335</v>
          </cell>
          <cell r="AI64" t="str">
            <v>OPERADOR LOGÍSTICO</v>
          </cell>
          <cell r="AJ64" t="str">
            <v>OPERADOR LOGÍSTICO</v>
          </cell>
          <cell r="AK64" t="str">
            <v>OPERADOR LOGÍSTICO</v>
          </cell>
          <cell r="AL64" t="str">
            <v>OPERADOR LOGÍSTICO</v>
          </cell>
          <cell r="AM64" t="str">
            <v>FUNCAS</v>
          </cell>
          <cell r="AN64" t="str">
            <v>OPERADOR LOGÍSTICO</v>
          </cell>
          <cell r="AO64" t="str">
            <v>OPERADOR LOGÍSTICO</v>
          </cell>
          <cell r="AP64" t="str">
            <v>OPERADOR LOGÍSTICO</v>
          </cell>
          <cell r="AQ64">
            <v>85532</v>
          </cell>
          <cell r="AR64">
            <v>16251</v>
          </cell>
          <cell r="AS64">
            <v>101783</v>
          </cell>
          <cell r="AT64">
            <v>85532</v>
          </cell>
          <cell r="AU64">
            <v>101783</v>
          </cell>
          <cell r="AV64">
            <v>95150</v>
          </cell>
          <cell r="AW64">
            <v>95150</v>
          </cell>
          <cell r="AX64" t="str">
            <v/>
          </cell>
          <cell r="AY64">
            <v>2.4299999999999999E-2</v>
          </cell>
        </row>
        <row r="65">
          <cell r="D65" t="str">
            <v>Alquiler Tarima 12 x 12 Media Jornada</v>
          </cell>
          <cell r="E65" t="str">
            <v>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v>
          </cell>
          <cell r="F65" t="str">
            <v>Unidad</v>
          </cell>
          <cell r="G65">
            <v>1</v>
          </cell>
          <cell r="H65" t="str">
            <v>Alquiler</v>
          </cell>
          <cell r="I65" t="str">
            <v>Michael Bautista</v>
          </cell>
          <cell r="J65">
            <v>46071</v>
          </cell>
          <cell r="K65" t="str">
            <v>D&amp;R PRODUCCIONES_VARIOS_03_02_2026.pdf</v>
          </cell>
          <cell r="L65" t="str">
            <v>Gestión</v>
          </cell>
          <cell r="M65" t="str">
            <v>D&amp;R PRODUCCIONES</v>
          </cell>
          <cell r="N65">
            <v>3280000</v>
          </cell>
          <cell r="O65" t="str">
            <v>Precio sin Iva</v>
          </cell>
          <cell r="P65" t="str">
            <v>Si tiene IVA</v>
          </cell>
          <cell r="Q65">
            <v>3280000</v>
          </cell>
          <cell r="R65">
            <v>623200</v>
          </cell>
          <cell r="S65">
            <v>3903200</v>
          </cell>
          <cell r="T65">
            <v>3280000</v>
          </cell>
          <cell r="U65">
            <v>3903200</v>
          </cell>
          <cell r="V65" t="str">
            <v>Michael</v>
          </cell>
          <cell r="W65">
            <v>46071</v>
          </cell>
          <cell r="X65" t="str">
            <v>ACTIVA2_EVENTOS_VARIOS.pdf</v>
          </cell>
          <cell r="Y65" t="str">
            <v>Gestión</v>
          </cell>
          <cell r="Z65" t="str">
            <v>ACTIVOS2 ENVENTOS</v>
          </cell>
          <cell r="AA65">
            <v>5000000</v>
          </cell>
          <cell r="AB65" t="str">
            <v>Precio sin Iva</v>
          </cell>
          <cell r="AC65" t="str">
            <v>Si tiene IVA</v>
          </cell>
          <cell r="AD65">
            <v>5000000</v>
          </cell>
          <cell r="AE65">
            <v>950000</v>
          </cell>
          <cell r="AF65">
            <v>5950000</v>
          </cell>
          <cell r="AG65">
            <v>5000000</v>
          </cell>
          <cell r="AH65">
            <v>5950000</v>
          </cell>
          <cell r="AI65" t="str">
            <v>Michael</v>
          </cell>
          <cell r="AJ65">
            <v>46071</v>
          </cell>
          <cell r="AK65" t="str">
            <v>PRODUCCIONES_EL_SOL_VARIOS.pdf</v>
          </cell>
          <cell r="AL65" t="str">
            <v>Gestión</v>
          </cell>
          <cell r="AM65" t="str">
            <v>PRODUCCIONES EL SOL</v>
          </cell>
          <cell r="AN65">
            <v>4200000</v>
          </cell>
          <cell r="AO65" t="str">
            <v>Precio sin Iva</v>
          </cell>
          <cell r="AP65" t="str">
            <v>Si tiene IVA</v>
          </cell>
          <cell r="AQ65">
            <v>4200000</v>
          </cell>
          <cell r="AR65">
            <v>798000</v>
          </cell>
          <cell r="AS65">
            <v>4998000</v>
          </cell>
          <cell r="AT65">
            <v>4200000</v>
          </cell>
          <cell r="AU65">
            <v>4998000</v>
          </cell>
          <cell r="AV65">
            <v>4950400</v>
          </cell>
          <cell r="AW65">
            <v>4950400</v>
          </cell>
          <cell r="AX65">
            <v>1024230</v>
          </cell>
          <cell r="AY65">
            <v>0.206898432449903</v>
          </cell>
          <cell r="BA65">
            <v>3</v>
          </cell>
        </row>
        <row r="66">
          <cell r="D66" t="str">
            <v xml:space="preserve">Alquiler Tarima 3 x 3 Jornada completa
</v>
          </cell>
          <cell r="E66" t="str">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ell>
          <cell r="F66" t="str">
            <v>Unidad</v>
          </cell>
          <cell r="G66">
            <v>1</v>
          </cell>
          <cell r="H66" t="str">
            <v>Alquiler</v>
          </cell>
          <cell r="I66" t="str">
            <v>Michael Bautista</v>
          </cell>
          <cell r="J66">
            <v>46105</v>
          </cell>
          <cell r="K66" t="str">
            <v>EFECTO_MASIVO_24_03.pdf</v>
          </cell>
          <cell r="L66" t="str">
            <v>Gestión</v>
          </cell>
          <cell r="M66" t="str">
            <v>EFECTO_MASIVO</v>
          </cell>
          <cell r="N66">
            <v>756303</v>
          </cell>
          <cell r="O66" t="str">
            <v>Precio sin Iva</v>
          </cell>
          <cell r="P66" t="str">
            <v>Si tiene IVA</v>
          </cell>
          <cell r="Q66">
            <v>756303</v>
          </cell>
          <cell r="R66">
            <v>143697.57</v>
          </cell>
          <cell r="S66">
            <v>900000.57000000007</v>
          </cell>
          <cell r="T66">
            <v>756303</v>
          </cell>
          <cell r="U66">
            <v>900000.57000000007</v>
          </cell>
          <cell r="V66" t="str">
            <v>Michael Bautista</v>
          </cell>
          <cell r="W66">
            <v>46056</v>
          </cell>
          <cell r="X66" t="str">
            <v>D&amp;R PRODUCCIONES_13_03_26.pdf</v>
          </cell>
          <cell r="Y66" t="str">
            <v>Gestión</v>
          </cell>
          <cell r="Z66" t="str">
            <v>D&amp;R PRODUCCIONES SAS</v>
          </cell>
          <cell r="AA66">
            <v>815000</v>
          </cell>
          <cell r="AB66" t="str">
            <v>Precio sin Iva</v>
          </cell>
          <cell r="AC66" t="str">
            <v>Si tiene IVA</v>
          </cell>
          <cell r="AD66">
            <v>815000</v>
          </cell>
          <cell r="AE66">
            <v>154850</v>
          </cell>
          <cell r="AF66">
            <v>969850</v>
          </cell>
          <cell r="AG66">
            <v>815000</v>
          </cell>
          <cell r="AH66">
            <v>969850</v>
          </cell>
          <cell r="AV66">
            <v>934925</v>
          </cell>
          <cell r="AW66">
            <v>934925</v>
          </cell>
          <cell r="AX66">
            <v>49391</v>
          </cell>
          <cell r="AY66">
            <v>5.2828836537690202E-2</v>
          </cell>
          <cell r="BA66">
            <v>2</v>
          </cell>
        </row>
        <row r="67">
          <cell r="D67" t="str">
            <v xml:space="preserve">Alquiler Tarima 3 x 3 Media Jornada
</v>
          </cell>
          <cell r="E67" t="str">
            <v>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ell>
          <cell r="F67" t="str">
            <v>Unidad</v>
          </cell>
          <cell r="G67">
            <v>1</v>
          </cell>
          <cell r="H67" t="str">
            <v>Alquiler</v>
          </cell>
          <cell r="I67" t="str">
            <v>Michael Bautista</v>
          </cell>
          <cell r="J67">
            <v>46056</v>
          </cell>
          <cell r="K67" t="str">
            <v>D&amp;R PRODUCCIONES_13_03_26.pdf</v>
          </cell>
          <cell r="L67" t="str">
            <v>Gestión</v>
          </cell>
          <cell r="M67" t="str">
            <v>D&amp;R PRODUCCIONES SAS</v>
          </cell>
          <cell r="N67">
            <v>710000</v>
          </cell>
          <cell r="O67" t="str">
            <v>Precio sin Iva</v>
          </cell>
          <cell r="P67" t="str">
            <v>Si tiene IVA</v>
          </cell>
          <cell r="Q67">
            <v>710000</v>
          </cell>
          <cell r="R67">
            <v>134900</v>
          </cell>
          <cell r="S67">
            <v>844900</v>
          </cell>
          <cell r="T67">
            <v>710000</v>
          </cell>
          <cell r="U67">
            <v>844900</v>
          </cell>
          <cell r="V67" t="str">
            <v>Michael Bautista</v>
          </cell>
          <cell r="W67">
            <v>46105</v>
          </cell>
          <cell r="X67" t="str">
            <v>EFECTO_MASIVO_24_03.pdf</v>
          </cell>
          <cell r="Y67" t="str">
            <v>Gestión</v>
          </cell>
          <cell r="Z67" t="str">
            <v>EFECTO_MASIVO</v>
          </cell>
          <cell r="AA67">
            <v>756303</v>
          </cell>
          <cell r="AB67" t="str">
            <v>Precio sin Iva</v>
          </cell>
          <cell r="AC67" t="str">
            <v>Si tiene IVA</v>
          </cell>
          <cell r="AD67">
            <v>756303</v>
          </cell>
          <cell r="AE67">
            <v>143697.57</v>
          </cell>
          <cell r="AF67">
            <v>900000.57000000007</v>
          </cell>
          <cell r="AG67">
            <v>756303</v>
          </cell>
          <cell r="AH67">
            <v>900000.57000000007</v>
          </cell>
          <cell r="AV67">
            <v>872450</v>
          </cell>
          <cell r="AW67">
            <v>872450</v>
          </cell>
          <cell r="AX67">
            <v>38962</v>
          </cell>
          <cell r="AY67">
            <v>4.4658146598658903E-2</v>
          </cell>
          <cell r="BA67">
            <v>2</v>
          </cell>
        </row>
        <row r="68">
          <cell r="D68" t="str">
            <v>Alquiler tarima 3.60  x 8.40</v>
          </cell>
          <cell r="E68" t="str">
            <v>ALQUILER DE TARIMA DE 3.60 X8.40 (ALTURA MODULAR ENTRE 0.20 Y 1.60) CON FALDON NEGRO, ESCALERA DE EMBARQUE Y DESEMBARQUE, CINTA ANTI DESLIZANTE Y BARANDAS.   INCLUYE INSTALACIÓN, TRANSPORTE Y ENTREGA EN EL LUGAR REQUERIDO, MONTAJE Y DESMONTAJE DE LA MISMA  (JORNADA POR EVENTO O DÍA)</v>
          </cell>
          <cell r="F68" t="str">
            <v>SERVICIO</v>
          </cell>
          <cell r="G68">
            <v>1</v>
          </cell>
          <cell r="Q68" t="str">
            <v> </v>
          </cell>
          <cell r="R68" t="str">
            <v> </v>
          </cell>
          <cell r="S68" t="str">
            <v> </v>
          </cell>
          <cell r="T68" t="str">
            <v> </v>
          </cell>
          <cell r="U68" t="str">
            <v> </v>
          </cell>
          <cell r="V68" t="str">
            <v>OPERADOR LOGÍSTICO</v>
          </cell>
          <cell r="W68" t="str">
            <v>OPERADOR LOGÍSTICO</v>
          </cell>
          <cell r="X68" t="str">
            <v>OPERADOR LOGÍSTICO</v>
          </cell>
          <cell r="Y68" t="str">
            <v>OPERADOR LOGÍSTICO</v>
          </cell>
          <cell r="Z68" t="str">
            <v>Estimación de precios con base en el proceso FDLSUBA-LP-013-2025 (140689) – Contrato 1000 – 2025, indexando el incremento de precios en el mercado con base en el Índice de Precios al Consumidor (IPC) para el mes de marzo de 2026, el cual fue de 5,56%.</v>
          </cell>
          <cell r="AA68" t="str">
            <v>OPERADOR LOGÍSTICO</v>
          </cell>
          <cell r="AB68" t="str">
            <v>OPERADOR LOGÍSTICO</v>
          </cell>
          <cell r="AC68" t="str">
            <v>OPERADOR LOGÍSTICO</v>
          </cell>
          <cell r="AD68" t="str">
            <v>OPERADOR LOGÍSTICO</v>
          </cell>
          <cell r="AE68" t="str">
            <v>OPERADOR LOGÍSTICO</v>
          </cell>
          <cell r="AF68">
            <v>1974890.7563025199</v>
          </cell>
          <cell r="AG68">
            <v>375229.24369747902</v>
          </cell>
          <cell r="AH68">
            <v>2350120</v>
          </cell>
          <cell r="AI68" t="str">
            <v>OPERADOR LOGÍSTICO</v>
          </cell>
          <cell r="AJ68" t="str">
            <v>OPERADOR LOGÍSTICO</v>
          </cell>
          <cell r="AK68" t="str">
            <v>OPERADOR LOGÍSTICO</v>
          </cell>
          <cell r="AL68" t="str">
            <v>OPERADOR LOGÍSTICO</v>
          </cell>
          <cell r="AM68" t="str">
            <v>FUNCAS</v>
          </cell>
          <cell r="AN68" t="str">
            <v>OPERADOR LOGÍSTICO</v>
          </cell>
          <cell r="AO68" t="str">
            <v>OPERADOR LOGÍSTICO</v>
          </cell>
          <cell r="AP68" t="str">
            <v>OPERADOR LOGÍSTICO</v>
          </cell>
          <cell r="AQ68">
            <v>1945705</v>
          </cell>
          <cell r="AR68">
            <v>369684</v>
          </cell>
          <cell r="AS68">
            <v>2315389</v>
          </cell>
          <cell r="AT68">
            <v>1945705</v>
          </cell>
          <cell r="AU68">
            <v>2315389</v>
          </cell>
          <cell r="AV68">
            <v>2145140</v>
          </cell>
          <cell r="AW68">
            <v>2145140</v>
          </cell>
          <cell r="AX68" t="str">
            <v/>
          </cell>
          <cell r="AY68">
            <v>1.0500000000000001E-2</v>
          </cell>
        </row>
        <row r="69">
          <cell r="D69" t="str">
            <v>Alquiler Tarima 4 x 4 Jornada Completa</v>
          </cell>
          <cell r="E69" t="str">
            <v>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ell>
          <cell r="F69" t="str">
            <v>Unidad</v>
          </cell>
          <cell r="G69">
            <v>1</v>
          </cell>
          <cell r="H69" t="str">
            <v>Alquiler</v>
          </cell>
          <cell r="I69" t="str">
            <v>Michael Bautista</v>
          </cell>
          <cell r="J69">
            <v>46056</v>
          </cell>
          <cell r="K69" t="str">
            <v>D&amp;R PRODUCCIONES_13_03_26.pdf</v>
          </cell>
          <cell r="L69" t="str">
            <v>Gestión</v>
          </cell>
          <cell r="M69" t="str">
            <v>D&amp;R PRODUCCIONES SAS</v>
          </cell>
          <cell r="N69">
            <v>890000</v>
          </cell>
          <cell r="O69" t="str">
            <v>Precio sin Iva</v>
          </cell>
          <cell r="P69" t="str">
            <v>Si tiene IVA</v>
          </cell>
          <cell r="Q69">
            <v>890000</v>
          </cell>
          <cell r="R69">
            <v>169100</v>
          </cell>
          <cell r="S69">
            <v>1059100</v>
          </cell>
          <cell r="T69">
            <v>890000</v>
          </cell>
          <cell r="U69">
            <v>1059100</v>
          </cell>
          <cell r="V69" t="str">
            <v xml:space="preserve">Michael Bautista </v>
          </cell>
          <cell r="W69">
            <v>46105</v>
          </cell>
          <cell r="X69" t="str">
            <v>EFECTO_MASIVO_24_03.pdf</v>
          </cell>
          <cell r="Y69" t="str">
            <v>Gestión</v>
          </cell>
          <cell r="Z69" t="str">
            <v>EFECTO_MASIVO</v>
          </cell>
          <cell r="AA69">
            <v>840336</v>
          </cell>
          <cell r="AB69" t="str">
            <v>Precio sin Iva</v>
          </cell>
          <cell r="AC69" t="str">
            <v>Si tiene IVA</v>
          </cell>
          <cell r="AD69">
            <v>840336</v>
          </cell>
          <cell r="AE69">
            <v>159663.84</v>
          </cell>
          <cell r="AF69">
            <v>999999.84</v>
          </cell>
          <cell r="AG69">
            <v>840336</v>
          </cell>
          <cell r="AH69">
            <v>999999.84</v>
          </cell>
          <cell r="AI69" t="str">
            <v xml:space="preserve">Michael Bautista </v>
          </cell>
          <cell r="AJ69">
            <v>46070</v>
          </cell>
          <cell r="AK69" t="str">
            <v>PRODUCCIONES_EL_SOL_19_03.pdf</v>
          </cell>
          <cell r="AL69" t="str">
            <v>Gestión</v>
          </cell>
          <cell r="AM69" t="str">
            <v xml:space="preserve">PRODUCCIONES EL SOL </v>
          </cell>
          <cell r="AN69">
            <v>650000</v>
          </cell>
          <cell r="AO69" t="str">
            <v>Precio sin Iva</v>
          </cell>
          <cell r="AP69" t="str">
            <v>Si tiene IVA</v>
          </cell>
          <cell r="AQ69">
            <v>650000</v>
          </cell>
          <cell r="AR69">
            <v>123500</v>
          </cell>
          <cell r="AS69">
            <v>773500</v>
          </cell>
          <cell r="AT69">
            <v>650000</v>
          </cell>
          <cell r="AU69">
            <v>773500</v>
          </cell>
          <cell r="AV69">
            <v>944200</v>
          </cell>
          <cell r="AW69">
            <v>944200</v>
          </cell>
          <cell r="AX69">
            <v>150755</v>
          </cell>
          <cell r="AY69">
            <v>0.15966426604532899</v>
          </cell>
          <cell r="BA69">
            <v>3</v>
          </cell>
        </row>
        <row r="70">
          <cell r="D70" t="str">
            <v>Alquiler tarima 4.88 x 3.66</v>
          </cell>
          <cell r="E70" t="str">
            <v>ALQUILER DE TARIMA DE 4,88 X 3,66 (ALTURA MODULAR ENTRE 0.20 Y 1.60) CON FALDON NEGRO, ESCALERA DE EMBARQUE Y DESEMBARQUE, CINTA ANTI DESLIZANTE Y BARANDAS. INCLUYE INSTALACIÓN, TRASPORTE Y ENTREGA EN EL LUGAR REQUERIDO, MONTAJE Y DESMONTAJE DE LA MISMA  (JORNADA POR EVENTO O DÍA)</v>
          </cell>
          <cell r="F70" t="str">
            <v>SERVICIO</v>
          </cell>
          <cell r="G70">
            <v>1</v>
          </cell>
          <cell r="Q70" t="str">
            <v> </v>
          </cell>
          <cell r="R70" t="str">
            <v> </v>
          </cell>
          <cell r="S70" t="str">
            <v> </v>
          </cell>
          <cell r="T70" t="str">
            <v> </v>
          </cell>
          <cell r="U70" t="str">
            <v> </v>
          </cell>
          <cell r="V70" t="str">
            <v>OPERADOR LOGÍSTICO</v>
          </cell>
          <cell r="W70" t="str">
            <v>OPERADOR LOGÍSTICO</v>
          </cell>
          <cell r="X70" t="str">
            <v>OPERADOR LOGÍSTICO</v>
          </cell>
          <cell r="Y70" t="str">
            <v>OPERADOR LOGÍSTICO</v>
          </cell>
          <cell r="Z70" t="str">
            <v>Estimación de precios con base en el proceso FDLSUBA-LP-013-2025 (140689) – Contrato 1000 – 2025, indexando el incremento de precios en el mercado con base en el Índice de Precios al Consumidor (IPC) para el mes de marzo de 2026, el cual fue de 5,56%.</v>
          </cell>
          <cell r="AA70" t="str">
            <v>OPERADOR LOGÍSTICO</v>
          </cell>
          <cell r="AB70" t="str">
            <v>OPERADOR LOGÍSTICO</v>
          </cell>
          <cell r="AC70" t="str">
            <v>OPERADOR LOGÍSTICO</v>
          </cell>
          <cell r="AD70" t="str">
            <v>OPERADOR LOGÍSTICO</v>
          </cell>
          <cell r="AE70" t="str">
            <v>OPERADOR LOGÍSTICO</v>
          </cell>
          <cell r="AF70">
            <v>1218534.45378151</v>
          </cell>
          <cell r="AG70">
            <v>231521.5462184874</v>
          </cell>
          <cell r="AH70">
            <v>1450056</v>
          </cell>
          <cell r="AI70" t="str">
            <v>OPERADOR LOGÍSTICO</v>
          </cell>
          <cell r="AJ70" t="str">
            <v>OPERADOR LOGÍSTICO</v>
          </cell>
          <cell r="AK70" t="str">
            <v>OPERADOR LOGÍSTICO</v>
          </cell>
          <cell r="AL70" t="str">
            <v>OPERADOR LOGÍSTICO</v>
          </cell>
          <cell r="AM70" t="str">
            <v>FUNCAS</v>
          </cell>
          <cell r="AN70" t="str">
            <v>OPERADOR LOGÍSTICO</v>
          </cell>
          <cell r="AO70" t="str">
            <v>OPERADOR LOGÍSTICO</v>
          </cell>
          <cell r="AP70" t="str">
            <v>OPERADOR LOGÍSTICO</v>
          </cell>
          <cell r="AQ70">
            <v>1200527</v>
          </cell>
          <cell r="AR70">
            <v>228100</v>
          </cell>
          <cell r="AS70">
            <v>1428627</v>
          </cell>
          <cell r="AT70">
            <v>1200527</v>
          </cell>
          <cell r="AU70">
            <v>1428627</v>
          </cell>
          <cell r="AV70">
            <v>1323581</v>
          </cell>
          <cell r="AW70">
            <v>1323581</v>
          </cell>
          <cell r="AX70" t="str">
            <v/>
          </cell>
          <cell r="AY70">
            <v>1.0500000000000001E-2</v>
          </cell>
        </row>
        <row r="71">
          <cell r="D71" t="str">
            <v>Alquiler tarima 5 x 5</v>
          </cell>
          <cell r="E71" t="str">
            <v>ALQUILER DE TARIMA DE 5X5 (ALTURA MODULAR ENTRE 0.20 Y 1.60) CON FALDON NEGRO, ESCALERA DE EMBARQUE Y DESEMBARQUE, CINTA ANTI DESLIZANTE Y BARANDAS.   INCLUYE INSTALACIÓN, TRANSPORTE Y ENTREGA EN EL LUGAR REQUERIDO, MONTAJE Y DESMONTAJE DE LA MISMA  (JORNADA POR EVENTO O DÍA)</v>
          </cell>
          <cell r="F71" t="str">
            <v>SERVICIO</v>
          </cell>
          <cell r="G71">
            <v>1</v>
          </cell>
          <cell r="Q71" t="str">
            <v> </v>
          </cell>
          <cell r="R71" t="str">
            <v> </v>
          </cell>
          <cell r="S71" t="str">
            <v> </v>
          </cell>
          <cell r="T71" t="str">
            <v> </v>
          </cell>
          <cell r="U71" t="str">
            <v> </v>
          </cell>
          <cell r="V71" t="str">
            <v>OPERADOR LOGÍSTICO</v>
          </cell>
          <cell r="W71" t="str">
            <v>OPERADOR LOGÍSTICO</v>
          </cell>
          <cell r="X71" t="str">
            <v>OPERADOR LOGÍSTICO</v>
          </cell>
          <cell r="Y71" t="str">
            <v>OPERADOR LOGÍSTICO</v>
          </cell>
          <cell r="Z71" t="str">
            <v>Estimación de precios con base en el proceso FDLSUBA-LP-013-2025 (140689) – Contrato 1000 – 2025, indexando el incremento de precios en el mercado con base en el Índice de Precios al Consumidor (IPC) para el mes de marzo de 2026, el cual fue de 5,56%.</v>
          </cell>
          <cell r="AA71" t="str">
            <v>OPERADOR LOGÍSTICO</v>
          </cell>
          <cell r="AB71" t="str">
            <v>OPERADOR LOGÍSTICO</v>
          </cell>
          <cell r="AC71" t="str">
            <v>OPERADOR LOGÍSTICO</v>
          </cell>
          <cell r="AD71" t="str">
            <v>OPERADOR LOGÍSTICO</v>
          </cell>
          <cell r="AE71" t="str">
            <v>OPERADOR LOGÍSTICO</v>
          </cell>
          <cell r="AF71">
            <v>1712023.5294117599</v>
          </cell>
          <cell r="AG71">
            <v>325284.4705882353</v>
          </cell>
          <cell r="AH71">
            <v>2037308</v>
          </cell>
          <cell r="AI71" t="str">
            <v>OPERADOR LOGÍSTICO</v>
          </cell>
          <cell r="AJ71" t="str">
            <v>OPERADOR LOGÍSTICO</v>
          </cell>
          <cell r="AK71" t="str">
            <v>OPERADOR LOGÍSTICO</v>
          </cell>
          <cell r="AL71" t="str">
            <v>OPERADOR LOGÍSTICO</v>
          </cell>
          <cell r="AM71" t="str">
            <v>FUNCAS</v>
          </cell>
          <cell r="AN71" t="str">
            <v>OPERADOR LOGÍSTICO</v>
          </cell>
          <cell r="AO71" t="str">
            <v>OPERADOR LOGÍSTICO</v>
          </cell>
          <cell r="AP71" t="str">
            <v>OPERADOR LOGÍSTICO</v>
          </cell>
          <cell r="AQ71">
            <v>1686723</v>
          </cell>
          <cell r="AR71">
            <v>320477</v>
          </cell>
          <cell r="AS71">
            <v>2007200</v>
          </cell>
          <cell r="AT71">
            <v>1686723</v>
          </cell>
          <cell r="AU71">
            <v>2007200</v>
          </cell>
          <cell r="AV71">
            <v>1859612</v>
          </cell>
          <cell r="AW71">
            <v>1859612</v>
          </cell>
          <cell r="AX71" t="str">
            <v/>
          </cell>
          <cell r="AY71">
            <v>1.0500000000000001E-2</v>
          </cell>
        </row>
        <row r="72">
          <cell r="D72" t="str">
            <v xml:space="preserve">Alquiler Tarima 6 x 6 Jornada completa
</v>
          </cell>
          <cell r="E72" t="str">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v>
          </cell>
          <cell r="F72" t="str">
            <v>Unidad</v>
          </cell>
          <cell r="G72">
            <v>1</v>
          </cell>
          <cell r="H72" t="str">
            <v>Alquiler</v>
          </cell>
          <cell r="I72" t="str">
            <v>Michael Bautista</v>
          </cell>
          <cell r="J72">
            <v>46071</v>
          </cell>
          <cell r="K72" t="str">
            <v>D&amp;R PRODUCCIONES_VARIOS_03_02_2026.pdf</v>
          </cell>
          <cell r="L72" t="str">
            <v>Gestión</v>
          </cell>
          <cell r="M72" t="str">
            <v>D&amp;R PRODUCCIONES</v>
          </cell>
          <cell r="N72">
            <v>1650000</v>
          </cell>
          <cell r="O72" t="str">
            <v>Precio sin Iva</v>
          </cell>
          <cell r="P72" t="str">
            <v>Si tiene IVA</v>
          </cell>
          <cell r="Q72">
            <v>1250000</v>
          </cell>
          <cell r="R72">
            <v>237500</v>
          </cell>
          <cell r="S72">
            <v>1487500</v>
          </cell>
          <cell r="T72">
            <v>1650000</v>
          </cell>
          <cell r="U72">
            <v>1487500</v>
          </cell>
          <cell r="V72" t="str">
            <v>Luz Jimenez</v>
          </cell>
          <cell r="W72">
            <v>46105</v>
          </cell>
          <cell r="X72" t="str">
            <v>EFECTO_MASIVO_24_03.pdf</v>
          </cell>
          <cell r="Y72" t="str">
            <v>Gestión</v>
          </cell>
          <cell r="Z72" t="str">
            <v>EFECTO_MASIVO</v>
          </cell>
          <cell r="AA72">
            <v>1008403</v>
          </cell>
          <cell r="AB72" t="str">
            <v>Precio sin Iva</v>
          </cell>
          <cell r="AC72" t="str">
            <v>Si tiene IVA</v>
          </cell>
          <cell r="AD72">
            <v>1008403</v>
          </cell>
          <cell r="AE72">
            <v>191596.57</v>
          </cell>
          <cell r="AF72">
            <v>1199999.57</v>
          </cell>
          <cell r="AG72">
            <v>1008403</v>
          </cell>
          <cell r="AH72">
            <v>1199999.57</v>
          </cell>
          <cell r="AI72" t="str">
            <v>Michael</v>
          </cell>
          <cell r="AJ72">
            <v>46071</v>
          </cell>
          <cell r="AK72" t="str">
            <v>PRODUCCIONES_EL_SOL_VARIOS.pdf</v>
          </cell>
          <cell r="AL72" t="str">
            <v>Gestión</v>
          </cell>
          <cell r="AM72" t="str">
            <v xml:space="preserve">PRODUCCIONES EL SOL </v>
          </cell>
          <cell r="AN72">
            <v>1100000</v>
          </cell>
          <cell r="AO72" t="str">
            <v>Precio sin Iva</v>
          </cell>
          <cell r="AP72" t="str">
            <v>Si tiene IVA</v>
          </cell>
          <cell r="AQ72">
            <v>1100000</v>
          </cell>
          <cell r="AR72">
            <v>209000</v>
          </cell>
          <cell r="AS72">
            <v>1309000</v>
          </cell>
          <cell r="AT72">
            <v>1100000</v>
          </cell>
          <cell r="AU72">
            <v>1309000</v>
          </cell>
          <cell r="AV72">
            <v>1332167</v>
          </cell>
          <cell r="AW72">
            <v>1332167</v>
          </cell>
          <cell r="AX72">
            <v>145144</v>
          </cell>
          <cell r="AY72">
            <v>0.108953306905215</v>
          </cell>
          <cell r="BA72">
            <v>3</v>
          </cell>
        </row>
        <row r="73">
          <cell r="D73" t="str">
            <v xml:space="preserve">Alquiler Tarima 6 x 6 Media Jornada
</v>
          </cell>
          <cell r="E73" t="str">
            <v>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v>
          </cell>
          <cell r="F73" t="str">
            <v>Unidad</v>
          </cell>
          <cell r="G73">
            <v>1</v>
          </cell>
          <cell r="H73" t="str">
            <v>Alquiler</v>
          </cell>
          <cell r="I73" t="str">
            <v>Michael Bautista</v>
          </cell>
          <cell r="J73">
            <v>46056</v>
          </cell>
          <cell r="K73" t="str">
            <v>D&amp;R PRODUCCIONES_13_03_26.pdf</v>
          </cell>
          <cell r="L73" t="str">
            <v>Gestión</v>
          </cell>
          <cell r="M73" t="str">
            <v>D&amp;R PRODUCCIONES SAS</v>
          </cell>
          <cell r="N73">
            <v>987500</v>
          </cell>
          <cell r="O73" t="str">
            <v>Precio sin Iva</v>
          </cell>
          <cell r="P73" t="str">
            <v>Si tiene IVA</v>
          </cell>
          <cell r="Q73">
            <v>987500</v>
          </cell>
          <cell r="R73">
            <v>187625</v>
          </cell>
          <cell r="S73">
            <v>1175125</v>
          </cell>
          <cell r="T73">
            <v>987500</v>
          </cell>
          <cell r="U73">
            <v>1175125</v>
          </cell>
          <cell r="V73" t="str">
            <v>Michael Bautista</v>
          </cell>
          <cell r="W73">
            <v>46105</v>
          </cell>
          <cell r="X73" t="str">
            <v>EFECTO_MASIVO_24_03.pdf</v>
          </cell>
          <cell r="Y73" t="str">
            <v>Gestión</v>
          </cell>
          <cell r="Z73" t="str">
            <v>EFECTO_MASIVO</v>
          </cell>
          <cell r="AA73">
            <v>1008403</v>
          </cell>
          <cell r="AB73" t="str">
            <v>Precio sin Iva</v>
          </cell>
          <cell r="AC73" t="str">
            <v>Si tiene IVA</v>
          </cell>
          <cell r="AD73">
            <v>1008403</v>
          </cell>
          <cell r="AE73">
            <v>191596.57</v>
          </cell>
          <cell r="AF73">
            <v>1199999.57</v>
          </cell>
          <cell r="AG73">
            <v>1008403</v>
          </cell>
          <cell r="AH73">
            <v>1199999.57</v>
          </cell>
          <cell r="AV73">
            <v>1187562</v>
          </cell>
          <cell r="AW73">
            <v>1187562</v>
          </cell>
          <cell r="AX73">
            <v>17589</v>
          </cell>
          <cell r="AY73">
            <v>1.4811016182734E-2</v>
          </cell>
          <cell r="BA73">
            <v>2</v>
          </cell>
        </row>
        <row r="74">
          <cell r="D74" t="str">
            <v>Alquiler Tarima 9 x 9  Media Jornada</v>
          </cell>
          <cell r="E74" t="str">
            <v>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v>
          </cell>
          <cell r="F74" t="str">
            <v>Unidad</v>
          </cell>
          <cell r="G74">
            <v>1</v>
          </cell>
          <cell r="H74" t="str">
            <v>Alquiler</v>
          </cell>
          <cell r="I74" t="str">
            <v>Michael Bautista</v>
          </cell>
          <cell r="J74">
            <v>46070</v>
          </cell>
          <cell r="K74" t="str">
            <v>ACTIVA2_EVENTOS_20_03.pdf</v>
          </cell>
          <cell r="L74" t="str">
            <v>Gestión</v>
          </cell>
          <cell r="M74" t="str">
            <v>ACTIVO2 EVENTOS</v>
          </cell>
          <cell r="N74">
            <v>3800000</v>
          </cell>
          <cell r="O74" t="str">
            <v>Precio sin Iva</v>
          </cell>
          <cell r="P74" t="str">
            <v>Si tiene IVA</v>
          </cell>
          <cell r="Q74">
            <v>3800000</v>
          </cell>
          <cell r="R74">
            <v>722000</v>
          </cell>
          <cell r="S74">
            <v>4522000</v>
          </cell>
          <cell r="T74">
            <v>3800000</v>
          </cell>
          <cell r="U74">
            <v>4522000</v>
          </cell>
          <cell r="V74" t="str">
            <v>Michael Bautista</v>
          </cell>
          <cell r="W74">
            <v>46105</v>
          </cell>
          <cell r="X74" t="str">
            <v>EFECTO_MASIVO_24_03.pdf</v>
          </cell>
          <cell r="Y74" t="str">
            <v>Gestión</v>
          </cell>
          <cell r="Z74" t="str">
            <v>EFECTO_MASIVO</v>
          </cell>
          <cell r="AA74">
            <v>2941177</v>
          </cell>
          <cell r="AB74" t="str">
            <v>Precio sin Iva</v>
          </cell>
          <cell r="AC74" t="str">
            <v>Si tiene IVA</v>
          </cell>
          <cell r="AD74">
            <v>2941177</v>
          </cell>
          <cell r="AE74">
            <v>558823.63</v>
          </cell>
          <cell r="AF74">
            <v>3500000.63</v>
          </cell>
          <cell r="AG74">
            <v>2941177</v>
          </cell>
          <cell r="AH74">
            <v>3500000.63</v>
          </cell>
          <cell r="AV74">
            <v>4011000</v>
          </cell>
          <cell r="AW74">
            <v>4011000</v>
          </cell>
          <cell r="AX74">
            <v>722663</v>
          </cell>
          <cell r="AY74">
            <v>0.18017028172525601</v>
          </cell>
          <cell r="BA74">
            <v>2</v>
          </cell>
        </row>
        <row r="75">
          <cell r="D75" t="str">
            <v>Alquiler Tarima 9 x 9 Jornada completa</v>
          </cell>
          <cell r="E75" t="str">
            <v>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v>
          </cell>
          <cell r="F75" t="str">
            <v>Unidad</v>
          </cell>
          <cell r="G75">
            <v>1</v>
          </cell>
          <cell r="H75" t="str">
            <v>Alquiler</v>
          </cell>
          <cell r="I75" t="str">
            <v>Michael Bautista</v>
          </cell>
          <cell r="J75">
            <v>46070</v>
          </cell>
          <cell r="K75" t="str">
            <v>ACTIVA2_EVENTOS_20_03.pdf</v>
          </cell>
          <cell r="L75" t="str">
            <v>Gestión</v>
          </cell>
          <cell r="M75" t="str">
            <v>ACTIVO2 EVENTOS</v>
          </cell>
          <cell r="N75">
            <v>3800000</v>
          </cell>
          <cell r="O75" t="str">
            <v>Precio sin Iva</v>
          </cell>
          <cell r="P75" t="str">
            <v>Si tiene IVA</v>
          </cell>
          <cell r="Q75">
            <v>3800000</v>
          </cell>
          <cell r="R75">
            <v>722000</v>
          </cell>
          <cell r="S75">
            <v>4522000</v>
          </cell>
          <cell r="T75">
            <v>3800000</v>
          </cell>
          <cell r="U75">
            <v>4522000</v>
          </cell>
          <cell r="V75" t="str">
            <v>Michael Bautista</v>
          </cell>
          <cell r="W75">
            <v>46105</v>
          </cell>
          <cell r="X75" t="str">
            <v>EFECTO_MASIVO_24_03.pdf</v>
          </cell>
          <cell r="Y75" t="str">
            <v>Gestión</v>
          </cell>
          <cell r="Z75" t="str">
            <v>EFECTO_MASIVO</v>
          </cell>
          <cell r="AA75">
            <v>2941177</v>
          </cell>
          <cell r="AB75" t="str">
            <v>Precio sin Iva</v>
          </cell>
          <cell r="AC75" t="str">
            <v>Si tiene IVA</v>
          </cell>
          <cell r="AD75">
            <v>2941177</v>
          </cell>
          <cell r="AE75">
            <v>558823.63</v>
          </cell>
          <cell r="AF75">
            <v>3500000.63</v>
          </cell>
          <cell r="AG75">
            <v>2941177</v>
          </cell>
          <cell r="AH75">
            <v>3500000.63</v>
          </cell>
          <cell r="AV75">
            <v>4011000</v>
          </cell>
          <cell r="AW75">
            <v>4011000</v>
          </cell>
          <cell r="AX75">
            <v>722663</v>
          </cell>
          <cell r="AY75">
            <v>0.18017028172525601</v>
          </cell>
          <cell r="BA75">
            <v>2</v>
          </cell>
        </row>
        <row r="76">
          <cell r="D76" t="str">
            <v>Alquiler techo 12 x 12</v>
          </cell>
          <cell r="E76" t="str">
            <v>ALQUILER TECHO EN ESTRUCTURA DE TRUSS PARA TARIMA DE 12X12 POR JORNADA DE 12 HORAS (CON MONTAJE EL DÍA ANTERIOR) * REQUIERE TENER CERTIFICACIÓN ESTRUCTURAL   INCLUYE INSTALACIÓN, TRANSPORTE Y ENTREGA EN EL LUGAR REQUERIDO, MONTAJE Y DESMONTAJE DE LA MISMA  (JORNADA POR EVENTO O DÍA)</v>
          </cell>
          <cell r="F76" t="str">
            <v>SERVICIO</v>
          </cell>
          <cell r="G76">
            <v>1</v>
          </cell>
          <cell r="Q76" t="str">
            <v> </v>
          </cell>
          <cell r="R76" t="str">
            <v> </v>
          </cell>
          <cell r="S76" t="str">
            <v> </v>
          </cell>
          <cell r="T76" t="str">
            <v> </v>
          </cell>
          <cell r="U76" t="str">
            <v> </v>
          </cell>
          <cell r="V76" t="str">
            <v>OPERADOR LOGÍSTICO</v>
          </cell>
          <cell r="W76" t="str">
            <v>OPERADOR LOGÍSTICO</v>
          </cell>
          <cell r="X76" t="str">
            <v>OPERADOR LOGÍSTICO</v>
          </cell>
          <cell r="Y76" t="str">
            <v>OPERADOR LOGÍSTICO</v>
          </cell>
          <cell r="Z76" t="str">
            <v>Estimación de precios con base en el proceso FDLSUBA-LP-013-2025 (140689) – Contrato 1000 – 2025, indexando el incremento de precios en el mercado con base en el Índice de Precios al Consumidor (IPC) para el mes de marzo de 2026, el cual fue de 5,56%.</v>
          </cell>
          <cell r="AA76" t="str">
            <v>OPERADOR LOGÍSTICO</v>
          </cell>
          <cell r="AB76" t="str">
            <v>OPERADOR LOGÍSTICO</v>
          </cell>
          <cell r="AC76" t="str">
            <v>OPERADOR LOGÍSTICO</v>
          </cell>
          <cell r="AD76" t="str">
            <v>OPERADOR LOGÍSTICO</v>
          </cell>
          <cell r="AE76" t="str">
            <v>OPERADOR LOGÍSTICO</v>
          </cell>
          <cell r="AF76">
            <v>4411356.3025210099</v>
          </cell>
          <cell r="AG76">
            <v>838157.6974789917</v>
          </cell>
          <cell r="AH76">
            <v>5249514</v>
          </cell>
          <cell r="AI76" t="str">
            <v>OPERADOR LOGÍSTICO</v>
          </cell>
          <cell r="AJ76" t="str">
            <v>OPERADOR LOGÍSTICO</v>
          </cell>
          <cell r="AK76" t="str">
            <v>OPERADOR LOGÍSTICO</v>
          </cell>
          <cell r="AL76" t="str">
            <v>OPERADOR LOGÍSTICO</v>
          </cell>
          <cell r="AM76" t="str">
            <v>FUNCAS</v>
          </cell>
          <cell r="AN76" t="str">
            <v>OPERADOR LOGÍSTICO</v>
          </cell>
          <cell r="AO76" t="str">
            <v>OPERADOR LOGÍSTICO</v>
          </cell>
          <cell r="AP76" t="str">
            <v>OPERADOR LOGÍSTICO</v>
          </cell>
          <cell r="AQ76">
            <v>4387954</v>
          </cell>
          <cell r="AR76">
            <v>833711</v>
          </cell>
          <cell r="AS76">
            <v>5221665</v>
          </cell>
          <cell r="AT76">
            <v>4387954</v>
          </cell>
          <cell r="AU76">
            <v>5221665</v>
          </cell>
          <cell r="AV76">
            <v>4816511</v>
          </cell>
          <cell r="AW76">
            <v>4816511</v>
          </cell>
          <cell r="AX76" t="str">
            <v/>
          </cell>
          <cell r="AY76">
            <v>3.8E-3</v>
          </cell>
        </row>
        <row r="77">
          <cell r="D77" t="str">
            <v>Alquiler techo tarima 6  x 6</v>
          </cell>
          <cell r="E77" t="str">
            <v>ALQUILER TECHO EN ESTRUCTURA DE TRUSS PARA TARIMA DE 6X6.   INCLUYE INSTALACIÓN, TRANSPORTE Y ENTREGA EN EL LUGAR REQUERIDO, MONTAJE Y DESMONTAJE DE LA MISMA  (JORNADA POR EVENTO O DÍA)</v>
          </cell>
          <cell r="F77" t="str">
            <v>SERVICIO</v>
          </cell>
          <cell r="G77">
            <v>1</v>
          </cell>
          <cell r="Q77" t="str">
            <v> </v>
          </cell>
          <cell r="R77" t="str">
            <v> </v>
          </cell>
          <cell r="S77" t="str">
            <v> </v>
          </cell>
          <cell r="T77" t="str">
            <v> </v>
          </cell>
          <cell r="U77" t="str">
            <v> </v>
          </cell>
          <cell r="V77" t="str">
            <v>OPERADOR LOGÍSTICO</v>
          </cell>
          <cell r="W77" t="str">
            <v>OPERADOR LOGÍSTICO</v>
          </cell>
          <cell r="X77" t="str">
            <v>OPERADOR LOGÍSTICO</v>
          </cell>
          <cell r="Y77" t="str">
            <v>OPERADOR LOGÍSTICO</v>
          </cell>
          <cell r="Z77" t="str">
            <v>Estimación de precios con base en el proceso FDLSUBA-LP-013-2025 (140689) – Contrato 1000 – 2025, indexando el incremento de precios en el mercado con base en el Índice de Precios al Consumidor (IPC) para el mes de marzo de 2026, el cual fue de 5,56%.</v>
          </cell>
          <cell r="AA77" t="str">
            <v>OPERADOR LOGÍSTICO</v>
          </cell>
          <cell r="AB77" t="str">
            <v>OPERADOR LOGÍSTICO</v>
          </cell>
          <cell r="AC77" t="str">
            <v>OPERADOR LOGÍSTICO</v>
          </cell>
          <cell r="AD77" t="str">
            <v>OPERADOR LOGÍSTICO</v>
          </cell>
          <cell r="AE77" t="str">
            <v>OPERADOR LOGÍSTICO</v>
          </cell>
          <cell r="AF77">
            <v>3227120.1680672299</v>
          </cell>
          <cell r="AG77">
            <v>613152.831932773</v>
          </cell>
          <cell r="AH77">
            <v>3840273</v>
          </cell>
          <cell r="AI77" t="str">
            <v>OPERADOR LOGÍSTICO</v>
          </cell>
          <cell r="AJ77" t="str">
            <v>OPERADOR LOGÍSTICO</v>
          </cell>
          <cell r="AK77" t="str">
            <v>OPERADOR LOGÍSTICO</v>
          </cell>
          <cell r="AL77" t="str">
            <v>OPERADOR LOGÍSTICO</v>
          </cell>
          <cell r="AM77" t="str">
            <v>FUNCAS</v>
          </cell>
          <cell r="AN77" t="str">
            <v>OPERADOR LOGÍSTICO</v>
          </cell>
          <cell r="AO77" t="str">
            <v>OPERADOR LOGÍSTICO</v>
          </cell>
          <cell r="AP77" t="str">
            <v>OPERADOR LOGÍSTICO</v>
          </cell>
          <cell r="AQ77">
            <v>3210000</v>
          </cell>
          <cell r="AR77">
            <v>609900</v>
          </cell>
          <cell r="AS77">
            <v>3819900</v>
          </cell>
          <cell r="AT77">
            <v>3210000</v>
          </cell>
          <cell r="AU77">
            <v>3819900</v>
          </cell>
          <cell r="AV77">
            <v>3523510</v>
          </cell>
          <cell r="AW77">
            <v>3523510</v>
          </cell>
          <cell r="AX77" t="str">
            <v/>
          </cell>
          <cell r="AY77">
            <v>3.8E-3</v>
          </cell>
        </row>
        <row r="78">
          <cell r="D78" t="str">
            <v>Alquiler vallas</v>
          </cell>
          <cell r="E78" t="str">
            <v>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v>
          </cell>
          <cell r="F78" t="str">
            <v>SERVICIO</v>
          </cell>
          <cell r="G78">
            <v>1</v>
          </cell>
          <cell r="Q78" t="str">
            <v> </v>
          </cell>
          <cell r="R78" t="str">
            <v> </v>
          </cell>
          <cell r="S78" t="str">
            <v> </v>
          </cell>
          <cell r="T78" t="str">
            <v> </v>
          </cell>
          <cell r="U78" t="str">
            <v> </v>
          </cell>
          <cell r="V78" t="str">
            <v>OPERADOR LOGÍSTICO</v>
          </cell>
          <cell r="W78" t="str">
            <v>OPERADOR LOGÍSTICO</v>
          </cell>
          <cell r="X78" t="str">
            <v>OPERADOR LOGÍSTICO</v>
          </cell>
          <cell r="Y78" t="str">
            <v>OPERADOR LOGÍSTICO</v>
          </cell>
          <cell r="Z78" t="str">
            <v>Estimación de precios con base en el proceso FDLSUBA-LP-013-2025 (140689) – Contrato 1000 – 2025, indexando el incremento de precios en el mercado con base en el Índice de Precios al Consumidor (IPC) para el mes de marzo de 2026, el cual fue de 5,56%.</v>
          </cell>
          <cell r="AA78" t="str">
            <v>OPERADOR LOGÍSTICO</v>
          </cell>
          <cell r="AB78" t="str">
            <v>OPERADOR LOGÍSTICO</v>
          </cell>
          <cell r="AC78" t="str">
            <v>OPERADOR LOGÍSTICO</v>
          </cell>
          <cell r="AD78" t="str">
            <v>OPERADOR LOGÍSTICO</v>
          </cell>
          <cell r="AE78" t="str">
            <v>OPERADOR LOGÍSTICO</v>
          </cell>
          <cell r="AF78">
            <v>32826.89075630252</v>
          </cell>
          <cell r="AG78">
            <v>6237.1092436974777</v>
          </cell>
          <cell r="AH78">
            <v>39064</v>
          </cell>
          <cell r="AI78" t="str">
            <v>OPERADOR LOGÍSTICO</v>
          </cell>
          <cell r="AJ78" t="str">
            <v>OPERADOR LOGÍSTICO</v>
          </cell>
          <cell r="AK78" t="str">
            <v>OPERADOR LOGÍSTICO</v>
          </cell>
          <cell r="AL78" t="str">
            <v>OPERADOR LOGÍSTICO</v>
          </cell>
          <cell r="AM78" t="str">
            <v>FUNCAS</v>
          </cell>
          <cell r="AN78" t="str">
            <v>OPERADOR LOGÍSTICO</v>
          </cell>
          <cell r="AO78" t="str">
            <v>OPERADOR LOGÍSTICO</v>
          </cell>
          <cell r="AP78" t="str">
            <v>OPERADOR LOGÍSTICO</v>
          </cell>
          <cell r="AQ78">
            <v>31719</v>
          </cell>
          <cell r="AR78">
            <v>6027</v>
          </cell>
          <cell r="AS78">
            <v>37746</v>
          </cell>
          <cell r="AT78">
            <v>31719</v>
          </cell>
          <cell r="AU78">
            <v>37746</v>
          </cell>
          <cell r="AV78">
            <v>35286</v>
          </cell>
          <cell r="AW78">
            <v>35286</v>
          </cell>
          <cell r="AX78" t="str">
            <v/>
          </cell>
          <cell r="AY78">
            <v>2.4299999999999999E-2</v>
          </cell>
        </row>
        <row r="79">
          <cell r="D79" t="str">
            <v>Alquiler video proyector y computador</v>
          </cell>
          <cell r="E79" t="str">
            <v xml:space="preserve">ALQUILER DE PROYECTOR DE VIDEO Y COMPUTADOR PORTÁTIL
CON TELÓN DE PROYECCIÓN DE 2X2 O DE 3X4 Y DEMÁS ELEMENTOS NECESARIOS PARA LA PRESTACIÓN DEL SERVICIO. MÍNIMO 2.000 LUMENS CON SOPORTE. INCLUYE TRANSPORTE, INSTALACIÓN Y OPERARIO. (JORNADA 4 HORAS) </v>
          </cell>
          <cell r="F79" t="str">
            <v>SERVICIO</v>
          </cell>
          <cell r="G79">
            <v>1</v>
          </cell>
          <cell r="Q79" t="str">
            <v> </v>
          </cell>
          <cell r="R79" t="str">
            <v> </v>
          </cell>
          <cell r="S79" t="str">
            <v> </v>
          </cell>
          <cell r="T79" t="str">
            <v> </v>
          </cell>
          <cell r="U79" t="str">
            <v> </v>
          </cell>
          <cell r="V79" t="str">
            <v>OPERADOR LOGÍSTICO</v>
          </cell>
          <cell r="W79" t="str">
            <v>OPERADOR LOGÍSTICO</v>
          </cell>
          <cell r="X79" t="str">
            <v>OPERADOR LOGÍSTICO</v>
          </cell>
          <cell r="Y79" t="str">
            <v>OPERADOR LOGÍSTICO</v>
          </cell>
          <cell r="Z79" t="str">
            <v>Estimación de precios con base en el proceso FDLSUBA-LP-013-2025 (140689) – Contrato 1000 – 2025, indexando el incremento de precios en el mercado con base en el Índice de Precios al Consumidor (IPC) para el mes de marzo de 2026, el cual fue de 5,56%.</v>
          </cell>
          <cell r="AA79" t="str">
            <v>OPERADOR LOGÍSTICO</v>
          </cell>
          <cell r="AB79" t="str">
            <v>OPERADOR LOGÍSTICO</v>
          </cell>
          <cell r="AC79" t="str">
            <v>OPERADOR LOGÍSTICO</v>
          </cell>
          <cell r="AD79" t="str">
            <v>OPERADOR LOGÍSTICO</v>
          </cell>
          <cell r="AE79" t="str">
            <v>OPERADOR LOGÍSTICO</v>
          </cell>
          <cell r="AF79">
            <v>1347710.9243697501</v>
          </cell>
          <cell r="AG79">
            <v>256065.0756302521</v>
          </cell>
          <cell r="AH79">
            <v>1603776</v>
          </cell>
          <cell r="AI79" t="str">
            <v>OPERADOR LOGÍSTICO</v>
          </cell>
          <cell r="AJ79" t="str">
            <v>OPERADOR LOGÍSTICO</v>
          </cell>
          <cell r="AK79" t="str">
            <v>OPERADOR LOGÍSTICO</v>
          </cell>
          <cell r="AL79" t="str">
            <v>OPERADOR LOGÍSTICO</v>
          </cell>
          <cell r="AM79" t="str">
            <v>FUNCAS</v>
          </cell>
          <cell r="AN79" t="str">
            <v>OPERADOR LOGÍSTICO</v>
          </cell>
          <cell r="AO79" t="str">
            <v>OPERADOR LOGÍSTICO</v>
          </cell>
          <cell r="AP79" t="str">
            <v>OPERADOR LOGÍSTICO</v>
          </cell>
          <cell r="AQ79">
            <v>1302260</v>
          </cell>
          <cell r="AR79">
            <v>247429</v>
          </cell>
          <cell r="AS79">
            <v>1549689</v>
          </cell>
          <cell r="AT79">
            <v>1302260</v>
          </cell>
          <cell r="AU79">
            <v>1549689</v>
          </cell>
          <cell r="AV79">
            <v>1448700</v>
          </cell>
          <cell r="AW79">
            <v>1448700</v>
          </cell>
          <cell r="AX79" t="str">
            <v/>
          </cell>
          <cell r="AY79">
            <v>2.4299999999999999E-2</v>
          </cell>
        </row>
        <row r="80">
          <cell r="D80" t="str">
            <v>Alquiles radio de comnicación</v>
          </cell>
          <cell r="E80" t="str">
            <v>ALQUILER RADIO DE COMUNICACIÓN
1 RADIO  1 ANTENA 1 CLIP DE CINTURÓN 2 BATERÍAS 1 CARGADOR (ENCHUFE CARGA RÁPIDA) ALCANCE: DISTANCIA QUE DA EL RADIO ES DE UNOS 2 KILÓMETROS EN LA CUIDAD Y EN CAMPO ABIERTO 7 KILÓMETROS FRECUENCIA UHF -VH CAPACIDAD DEL CANAL: 16. SERVICIO POR DÍA</v>
          </cell>
          <cell r="F80" t="str">
            <v>SERVICIO</v>
          </cell>
          <cell r="G80">
            <v>1</v>
          </cell>
          <cell r="Q80" t="str">
            <v> </v>
          </cell>
          <cell r="R80" t="str">
            <v> </v>
          </cell>
          <cell r="S80" t="str">
            <v> </v>
          </cell>
          <cell r="T80" t="str">
            <v> </v>
          </cell>
          <cell r="U80" t="str">
            <v> </v>
          </cell>
          <cell r="V80" t="str">
            <v>OPERADOR LOGÍSTICO</v>
          </cell>
          <cell r="W80" t="str">
            <v>OPERADOR LOGÍSTICO</v>
          </cell>
          <cell r="X80" t="str">
            <v>OPERADOR LOGÍSTICO</v>
          </cell>
          <cell r="Y80" t="str">
            <v>OPERADOR LOGÍSTICO</v>
          </cell>
          <cell r="Z80" t="str">
            <v>Estimación de precios con base en el proceso FDLSUBA-LP-013-2025 (140689) – Contrato 1000 – 2025, indexando el incremento de precios en el mercado con base en el Índice de Precios al Consumidor (IPC) para el mes de marzo de 2026, el cual fue de 5,56%.</v>
          </cell>
          <cell r="AA80" t="str">
            <v>OPERADOR LOGÍSTICO</v>
          </cell>
          <cell r="AB80" t="str">
            <v>OPERADOR LOGÍSTICO</v>
          </cell>
          <cell r="AC80" t="str">
            <v>OPERADOR LOGÍSTICO</v>
          </cell>
          <cell r="AD80" t="str">
            <v>OPERADOR LOGÍSTICO</v>
          </cell>
          <cell r="AE80" t="str">
            <v>OPERADOR LOGÍSTICO</v>
          </cell>
          <cell r="AF80">
            <v>121305.04201680671</v>
          </cell>
          <cell r="AG80">
            <v>23047.957983193279</v>
          </cell>
          <cell r="AH80">
            <v>144353</v>
          </cell>
          <cell r="AI80" t="str">
            <v>OPERADOR LOGÍSTICO</v>
          </cell>
          <cell r="AJ80" t="str">
            <v>OPERADOR LOGÍSTICO</v>
          </cell>
          <cell r="AK80" t="str">
            <v>OPERADOR LOGÍSTICO</v>
          </cell>
          <cell r="AL80" t="str">
            <v>OPERADOR LOGÍSTICO</v>
          </cell>
          <cell r="AM80" t="str">
            <v>FUNCAS</v>
          </cell>
          <cell r="AN80" t="str">
            <v>OPERADOR LOGÍSTICO</v>
          </cell>
          <cell r="AO80" t="str">
            <v>OPERADOR LOGÍSTICO</v>
          </cell>
          <cell r="AP80" t="str">
            <v>OPERADOR LOGÍSTICO</v>
          </cell>
          <cell r="AQ80">
            <v>117214</v>
          </cell>
          <cell r="AR80">
            <v>22271</v>
          </cell>
          <cell r="AS80">
            <v>139485</v>
          </cell>
          <cell r="AT80">
            <v>117214</v>
          </cell>
          <cell r="AU80">
            <v>139485</v>
          </cell>
          <cell r="AV80">
            <v>130395</v>
          </cell>
          <cell r="AW80">
            <v>130395</v>
          </cell>
          <cell r="AX80" t="str">
            <v/>
          </cell>
          <cell r="AY80">
            <v>2.4299999999999999E-2</v>
          </cell>
        </row>
        <row r="81">
          <cell r="D81" t="str">
            <v>Animador</v>
          </cell>
          <cell r="E81" t="str">
            <v>ANIMADOR CON EXPERIENCIA
(JORNADA ENTRE 5 Y HASTA 10 HORAS DÍA).</v>
          </cell>
          <cell r="F81" t="str">
            <v>SERVICIO</v>
          </cell>
          <cell r="G81">
            <v>1</v>
          </cell>
          <cell r="Q81" t="str">
            <v> </v>
          </cell>
          <cell r="R81" t="str">
            <v> </v>
          </cell>
          <cell r="S81" t="str">
            <v> </v>
          </cell>
          <cell r="T81" t="str">
            <v> </v>
          </cell>
          <cell r="U81" t="str">
            <v> </v>
          </cell>
          <cell r="V81" t="str">
            <v>OPERADOR LOGÍSTICO</v>
          </cell>
          <cell r="W81" t="str">
            <v>OPERADOR LOGÍSTICO</v>
          </cell>
          <cell r="X81" t="str">
            <v>OPERADOR LOGÍSTICO</v>
          </cell>
          <cell r="Y81" t="str">
            <v>OPERADOR LOGÍSTICO</v>
          </cell>
          <cell r="Z81" t="str">
            <v>Estimación de precios con base en el proceso FDLSUBA-LP-013-2025 (140689) – Contrato 1000 – 2025, indexando el incremento de precios en el mercado con base en el Índice de Precios al Consumidor (IPC) para el mes de marzo de 2026, el cual fue de 5,56%.</v>
          </cell>
          <cell r="AA81" t="str">
            <v>OPERADOR LOGÍSTICO</v>
          </cell>
          <cell r="AB81" t="str">
            <v>OPERADOR LOGÍSTICO</v>
          </cell>
          <cell r="AC81" t="str">
            <v>OPERADOR LOGÍSTICO</v>
          </cell>
          <cell r="AD81" t="str">
            <v>OPERADOR LOGÍSTICO</v>
          </cell>
          <cell r="AE81" t="str">
            <v>OPERADOR LOGÍSTICO</v>
          </cell>
          <cell r="AF81">
            <v>514745.37815126049</v>
          </cell>
          <cell r="AG81">
            <v>97801.621848739494</v>
          </cell>
          <cell r="AH81">
            <v>612547</v>
          </cell>
          <cell r="AI81" t="str">
            <v>OPERADOR LOGÍSTICO</v>
          </cell>
          <cell r="AJ81" t="str">
            <v>OPERADOR LOGÍSTICO</v>
          </cell>
          <cell r="AK81" t="str">
            <v>OPERADOR LOGÍSTICO</v>
          </cell>
          <cell r="AL81" t="str">
            <v>OPERADOR LOGÍSTICO</v>
          </cell>
          <cell r="AM81" t="str">
            <v>FUNCAS</v>
          </cell>
          <cell r="AN81" t="str">
            <v>OPERADOR LOGÍSTICO</v>
          </cell>
          <cell r="AO81" t="str">
            <v>OPERADOR LOGÍSTICO</v>
          </cell>
          <cell r="AP81" t="str">
            <v>OPERADOR LOGÍSTICO</v>
          </cell>
          <cell r="AQ81">
            <v>497386</v>
          </cell>
          <cell r="AR81">
            <v>94503</v>
          </cell>
          <cell r="AS81">
            <v>591889</v>
          </cell>
          <cell r="AT81">
            <v>497386</v>
          </cell>
          <cell r="AU81">
            <v>591889</v>
          </cell>
          <cell r="AV81">
            <v>553317</v>
          </cell>
          <cell r="AW81">
            <v>553317</v>
          </cell>
          <cell r="AX81" t="str">
            <v/>
          </cell>
          <cell r="AY81">
            <v>2.4299999999999999E-2</v>
          </cell>
        </row>
        <row r="82">
          <cell r="D82" t="str">
            <v>Arcilla por  libra</v>
          </cell>
          <cell r="E82" t="str">
            <v>Arcilla para modelar, paquete por libra, colores surtidos</v>
          </cell>
          <cell r="F82" t="str">
            <v>Unidad</v>
          </cell>
          <cell r="G82">
            <v>1</v>
          </cell>
          <cell r="H82" t="str">
            <v>Compra</v>
          </cell>
          <cell r="I82" t="str">
            <v>Sandra Vargas</v>
          </cell>
          <cell r="J82">
            <v>46070</v>
          </cell>
          <cell r="K82" t="str">
            <v>Comercializadora tj_Varios</v>
          </cell>
          <cell r="L82" t="str">
            <v>Gestión</v>
          </cell>
          <cell r="M82" t="str">
            <v>Comercializadora Tj</v>
          </cell>
          <cell r="N82">
            <v>4000</v>
          </cell>
          <cell r="O82" t="str">
            <v>Precio sin Iva</v>
          </cell>
          <cell r="P82" t="str">
            <v>Si tiene IVA</v>
          </cell>
          <cell r="Q82">
            <v>4000</v>
          </cell>
          <cell r="R82">
            <v>760</v>
          </cell>
          <cell r="S82">
            <v>4760</v>
          </cell>
          <cell r="T82">
            <v>4000</v>
          </cell>
          <cell r="U82">
            <v>4760</v>
          </cell>
          <cell r="V82" t="str">
            <v>Sandra Vargas</v>
          </cell>
          <cell r="W82">
            <v>46062</v>
          </cell>
          <cell r="X82" t="str">
            <v>Cartel arte y papeleria_varios</v>
          </cell>
          <cell r="Y82" t="str">
            <v>Gestión</v>
          </cell>
          <cell r="Z82" t="str">
            <v>CARTEL ARTE Y PAPELERIA</v>
          </cell>
          <cell r="AA82">
            <v>5600</v>
          </cell>
          <cell r="AB82" t="str">
            <v>IVA incluido</v>
          </cell>
          <cell r="AC82" t="str">
            <v>Si tiene IVA</v>
          </cell>
          <cell r="AD82">
            <v>4705.8823529411766</v>
          </cell>
          <cell r="AE82">
            <v>894.11764705882354</v>
          </cell>
          <cell r="AF82">
            <v>5600</v>
          </cell>
          <cell r="AG82">
            <v>5600</v>
          </cell>
          <cell r="AH82">
            <v>5600</v>
          </cell>
          <cell r="AI82" t="str">
            <v>Sandra Vargas</v>
          </cell>
          <cell r="AJ82">
            <v>46064</v>
          </cell>
          <cell r="AK82" t="str">
            <v>Gran papelera_Varios 11-02-2026</v>
          </cell>
          <cell r="AL82" t="str">
            <v>Gestión</v>
          </cell>
          <cell r="AM82" t="str">
            <v>La gran Papeleria</v>
          </cell>
          <cell r="AN82">
            <v>5500</v>
          </cell>
          <cell r="AO82" t="str">
            <v>IVA incluido</v>
          </cell>
          <cell r="AP82" t="str">
            <v>Si tiene IVA</v>
          </cell>
          <cell r="AQ82">
            <v>4621.8487394957983</v>
          </cell>
          <cell r="AR82">
            <v>878.15126050420167</v>
          </cell>
          <cell r="AS82">
            <v>5500</v>
          </cell>
          <cell r="AT82">
            <v>5500</v>
          </cell>
          <cell r="AU82">
            <v>5500</v>
          </cell>
          <cell r="AV82">
            <v>5287</v>
          </cell>
          <cell r="AW82">
            <v>5287</v>
          </cell>
          <cell r="AX82">
            <v>459</v>
          </cell>
          <cell r="AY82">
            <v>8.6816720257234706E-2</v>
          </cell>
          <cell r="BA82">
            <v>3</v>
          </cell>
        </row>
        <row r="83">
          <cell r="D83" t="str">
            <v>Auditorio 500 personas</v>
          </cell>
          <cell r="E83" t="str">
            <v>Alquiler salón de conferencias
Jornada completa
Capacidad para 500 personas.  
- sillas tapizadas
- Sistema de sonido, computador portátil y video beam
- 1 tablero
- Baños equipados (Jabón, Papel y Papeleras)
-Accesos para personas con discapacidad
-Servicio de Vigilancia y aseo</v>
          </cell>
          <cell r="F83" t="str">
            <v>SERVICIO</v>
          </cell>
          <cell r="G83">
            <v>1</v>
          </cell>
          <cell r="Q83" t="str">
            <v> </v>
          </cell>
          <cell r="R83" t="str">
            <v> </v>
          </cell>
          <cell r="S83" t="str">
            <v> </v>
          </cell>
          <cell r="T83" t="str">
            <v> </v>
          </cell>
          <cell r="U83" t="str">
            <v> </v>
          </cell>
          <cell r="V83" t="str">
            <v>OPERADOR LOGÍSTICO</v>
          </cell>
          <cell r="W83" t="str">
            <v>OPERADOR LOGÍSTICO</v>
          </cell>
          <cell r="X83" t="str">
            <v>OPERADOR LOGÍSTICO</v>
          </cell>
          <cell r="Y83" t="str">
            <v>OPERADOR LOGÍSTICO</v>
          </cell>
          <cell r="Z83" t="str">
            <v>Estimación de precios con base en el proceso FDLSUBA-LP-013-2025 (140689) – Contrato 1000 – 2025, indexando el incremento de precios en el mercado con base en el Índice de Precios al Consumidor (IPC) para el mes de marzo de 2026, el cual fue de 5,56%.</v>
          </cell>
          <cell r="AA83" t="str">
            <v>OPERADOR LOGÍSTICO</v>
          </cell>
          <cell r="AB83" t="str">
            <v>OPERADOR LOGÍSTICO</v>
          </cell>
          <cell r="AC83" t="str">
            <v>OPERADOR LOGÍSTICO</v>
          </cell>
          <cell r="AD83" t="str">
            <v>OPERADOR LOGÍSTICO</v>
          </cell>
          <cell r="AE83" t="str">
            <v>OPERADOR LOGÍSTICO</v>
          </cell>
          <cell r="AF83">
            <v>3503882.3529411801</v>
          </cell>
          <cell r="AG83">
            <v>665737.64705882361</v>
          </cell>
          <cell r="AH83">
            <v>4169620</v>
          </cell>
          <cell r="AI83" t="str">
            <v>OPERADOR LOGÍSTICO</v>
          </cell>
          <cell r="AJ83" t="str">
            <v>OPERADOR LOGÍSTICO</v>
          </cell>
          <cell r="AK83" t="str">
            <v>OPERADOR LOGÍSTICO</v>
          </cell>
          <cell r="AL83" t="str">
            <v>OPERADOR LOGÍSTICO</v>
          </cell>
          <cell r="AM83" t="str">
            <v>FUNCAS</v>
          </cell>
          <cell r="AN83" t="str">
            <v>OPERADOR LOGÍSTICO</v>
          </cell>
          <cell r="AO83" t="str">
            <v>OPERADOR LOGÍSTICO</v>
          </cell>
          <cell r="AP83" t="str">
            <v>OPERADOR LOGÍSTICO</v>
          </cell>
          <cell r="AQ83">
            <v>3402311</v>
          </cell>
          <cell r="AR83">
            <v>646439</v>
          </cell>
          <cell r="AS83">
            <v>4048750</v>
          </cell>
          <cell r="AT83">
            <v>3402311</v>
          </cell>
          <cell r="AU83">
            <v>4048750</v>
          </cell>
          <cell r="AV83">
            <v>3776316</v>
          </cell>
          <cell r="AW83">
            <v>3776316</v>
          </cell>
          <cell r="AX83" t="str">
            <v/>
          </cell>
          <cell r="AY83">
            <v>2.0799999999999999E-2</v>
          </cell>
        </row>
        <row r="84">
          <cell r="D84" t="str">
            <v>Auditorio para 100 personas jornada completa</v>
          </cell>
          <cell r="E84" t="str">
            <v>Alquiler salón de conferencias
Jornada completa
Capacidad para 100 personas.  
- sillas tapizadas
- Sistema de sonido, computador portátil y video beam
- 1 tablero
- Baños equipados (Jabón, Papel y Papeleras)
-Accesos para personas con discapacidad
-Servicio de Vigilancia y aseo</v>
          </cell>
          <cell r="F84" t="str">
            <v>SERVICIO</v>
          </cell>
          <cell r="G84">
            <v>1</v>
          </cell>
          <cell r="Q84" t="str">
            <v> </v>
          </cell>
          <cell r="R84" t="str">
            <v> </v>
          </cell>
          <cell r="S84" t="str">
            <v> </v>
          </cell>
          <cell r="T84" t="str">
            <v> </v>
          </cell>
          <cell r="U84" t="str">
            <v> </v>
          </cell>
          <cell r="V84" t="str">
            <v>OPERADOR LOGÍSTICO</v>
          </cell>
          <cell r="W84" t="str">
            <v>OPERADOR LOGÍSTICO</v>
          </cell>
          <cell r="X84" t="str">
            <v>OPERADOR LOGÍSTICO</v>
          </cell>
          <cell r="Y84" t="str">
            <v>OPERADOR LOGÍSTICO</v>
          </cell>
          <cell r="Z84" t="str">
            <v>Estimación de precios con base en el proceso FDLSUBA-LP-013-2025 (140689) – Contrato 1000 – 2025, indexando el incremento de precios en el mercado con base en el Índice de Precios al Consumidor (IPC) para el mes de marzo de 2026, el cual fue de 5,56%.</v>
          </cell>
          <cell r="AA84" t="str">
            <v>OPERADOR LOGÍSTICO</v>
          </cell>
          <cell r="AB84" t="str">
            <v>OPERADOR LOGÍSTICO</v>
          </cell>
          <cell r="AC84" t="str">
            <v>OPERADOR LOGÍSTICO</v>
          </cell>
          <cell r="AD84" t="str">
            <v>OPERADOR LOGÍSTICO</v>
          </cell>
          <cell r="AE84" t="str">
            <v>OPERADOR LOGÍSTICO</v>
          </cell>
          <cell r="AF84">
            <v>2300276.4705882398</v>
          </cell>
          <cell r="AG84">
            <v>437052.52941176458</v>
          </cell>
          <cell r="AH84">
            <v>2737329</v>
          </cell>
          <cell r="AI84" t="str">
            <v>OPERADOR LOGÍSTICO</v>
          </cell>
          <cell r="AJ84" t="str">
            <v>OPERADOR LOGÍSTICO</v>
          </cell>
          <cell r="AK84" t="str">
            <v>OPERADOR LOGÍSTICO</v>
          </cell>
          <cell r="AL84" t="str">
            <v>OPERADOR LOGÍSTICO</v>
          </cell>
          <cell r="AM84" t="str">
            <v>FUNCAS</v>
          </cell>
          <cell r="AN84" t="str">
            <v>OPERADOR LOGÍSTICO</v>
          </cell>
          <cell r="AO84" t="str">
            <v>OPERADOR LOGÍSTICO</v>
          </cell>
          <cell r="AP84" t="str">
            <v>OPERADOR LOGÍSTICO</v>
          </cell>
          <cell r="AQ84">
            <v>2233596</v>
          </cell>
          <cell r="AR84">
            <v>424383</v>
          </cell>
          <cell r="AS84">
            <v>2657979</v>
          </cell>
          <cell r="AT84">
            <v>2233596</v>
          </cell>
          <cell r="AU84">
            <v>2657979</v>
          </cell>
          <cell r="AV84">
            <v>2479128</v>
          </cell>
          <cell r="AW84">
            <v>2479128</v>
          </cell>
          <cell r="AX84" t="str">
            <v/>
          </cell>
          <cell r="AY84">
            <v>2.0799999999999999E-2</v>
          </cell>
        </row>
        <row r="85">
          <cell r="D85" t="str">
            <v>Auditorio para 100 personas media jornada</v>
          </cell>
          <cell r="E85" t="str">
            <v>Alquiler salón de conferencias 
Media Jornada
Capacidad para 100 personas.   
- sillas tapizadas 
- Sistema de sonido y video beam 
- 1 tablero 
- Baños equipados (Jabón, Papel y Papeleras) 
-Accesos para personas con discapacidad
-Servicio de Vigilancia y aseo</v>
          </cell>
          <cell r="F85" t="str">
            <v>Unidad</v>
          </cell>
          <cell r="G85">
            <v>1</v>
          </cell>
          <cell r="H85" t="str">
            <v>Alquiler</v>
          </cell>
          <cell r="I85" t="str">
            <v>Laura Pisco</v>
          </cell>
          <cell r="J85">
            <v>46149</v>
          </cell>
          <cell r="K85" t="str">
            <v>COMPENSAR_13_03_26.pdf</v>
          </cell>
          <cell r="L85" t="str">
            <v>Transcripción</v>
          </cell>
          <cell r="M85" t="str">
            <v>COMPENSAR</v>
          </cell>
          <cell r="N85">
            <v>2200000</v>
          </cell>
          <cell r="O85" t="str">
            <v>Precio sin Iva</v>
          </cell>
          <cell r="P85" t="str">
            <v>Si tiene IVA</v>
          </cell>
          <cell r="Q85">
            <v>2200000</v>
          </cell>
          <cell r="R85">
            <v>418000</v>
          </cell>
          <cell r="S85">
            <v>2618000</v>
          </cell>
          <cell r="T85">
            <v>2200000</v>
          </cell>
          <cell r="U85">
            <v>2618000</v>
          </cell>
          <cell r="V85" t="str">
            <v>Luz Jimenez</v>
          </cell>
          <cell r="W85">
            <v>46078</v>
          </cell>
          <cell r="X85" t="str">
            <v>Mozarella de Eventos sas_Auditorios</v>
          </cell>
          <cell r="Y85" t="str">
            <v>Transcripción</v>
          </cell>
          <cell r="Z85" t="str">
            <v>Mozarella de Eventos sas</v>
          </cell>
          <cell r="AA85">
            <v>1848742</v>
          </cell>
          <cell r="AB85" t="str">
            <v>Precio sin Iva</v>
          </cell>
          <cell r="AC85" t="str">
            <v>Si tiene IVA</v>
          </cell>
          <cell r="AD85">
            <v>1848742</v>
          </cell>
          <cell r="AE85">
            <v>351260.98</v>
          </cell>
          <cell r="AF85">
            <v>2200002.98</v>
          </cell>
          <cell r="AG85">
            <v>1848742</v>
          </cell>
          <cell r="AH85">
            <v>2200002.98</v>
          </cell>
          <cell r="AI85" t="str">
            <v>Sandra Vargas</v>
          </cell>
          <cell r="AJ85">
            <v>46142</v>
          </cell>
          <cell r="AK85" t="str">
            <v>ASOCIACION COLOMBIANA DE MEDICOS VETERINARIOS Y ZOOTECNISTAS ESPECIALISTAS EN AVICULTURA.pdf</v>
          </cell>
          <cell r="AL85" t="str">
            <v>Transcripción</v>
          </cell>
          <cell r="AM85" t="str">
            <v>ASOCIACION COLOMBIANA DE MEDICOS VETERINARIOS Y ZOOTECNISTAS ESPECIALISTAS EN AVICULTURA</v>
          </cell>
          <cell r="AN85">
            <v>1583193</v>
          </cell>
          <cell r="AO85" t="str">
            <v>Precio sin Iva</v>
          </cell>
          <cell r="AP85" t="str">
            <v>Si tiene IVA</v>
          </cell>
          <cell r="AQ85">
            <v>1583193</v>
          </cell>
          <cell r="AR85">
            <v>300806.67</v>
          </cell>
          <cell r="AS85">
            <v>1883999.67</v>
          </cell>
          <cell r="AT85">
            <v>1583193</v>
          </cell>
          <cell r="AU85">
            <v>1883999.67</v>
          </cell>
          <cell r="AV85">
            <v>2234001</v>
          </cell>
          <cell r="AW85">
            <v>2234001</v>
          </cell>
          <cell r="AX85">
            <v>368179</v>
          </cell>
          <cell r="AY85">
            <v>0.16480699874351001</v>
          </cell>
          <cell r="BA85">
            <v>3</v>
          </cell>
        </row>
        <row r="86">
          <cell r="D86" t="str">
            <v>Auditorio para 50 personas jornada completa</v>
          </cell>
          <cell r="E86" t="str">
            <v>Alquiler salón de conferencias
Jornada completa
Capacidad para 50 personas.  
- sillas tapizadas
- Sistema de sonido, computador portátil y video beam
- 1 tablero
- Baños equipados (Jabón, Papel y Papeleras)
-Accesos para personas con discapacidad
-Servicio de Vigilancia y aseo</v>
          </cell>
          <cell r="F86" t="str">
            <v>SERVICIO</v>
          </cell>
          <cell r="G86">
            <v>1</v>
          </cell>
          <cell r="Q86" t="str">
            <v> </v>
          </cell>
          <cell r="R86" t="str">
            <v> </v>
          </cell>
          <cell r="S86" t="str">
            <v> </v>
          </cell>
          <cell r="T86" t="str">
            <v> </v>
          </cell>
          <cell r="U86" t="str">
            <v> </v>
          </cell>
          <cell r="V86" t="str">
            <v>OPERADOR LOGÍSTICO</v>
          </cell>
          <cell r="W86" t="str">
            <v>OPERADOR LOGÍSTICO</v>
          </cell>
          <cell r="X86" t="str">
            <v>OPERADOR LOGÍSTICO</v>
          </cell>
          <cell r="Y86" t="str">
            <v>OPERADOR LOGÍSTICO</v>
          </cell>
          <cell r="Z86" t="str">
            <v>Estimación de precios con base en el proceso FDLSUBA-LP-013-2025 (140689) – Contrato 1000 – 2025, indexando el incremento de precios en el mercado con base en el Índice de Precios al Consumidor (IPC) para el mes de marzo de 2026, el cual fue de 5,56%.</v>
          </cell>
          <cell r="AA86" t="str">
            <v>OPERADOR LOGÍSTICO</v>
          </cell>
          <cell r="AB86" t="str">
            <v>OPERADOR LOGÍSTICO</v>
          </cell>
          <cell r="AC86" t="str">
            <v>OPERADOR LOGÍSTICO</v>
          </cell>
          <cell r="AD86" t="str">
            <v>OPERADOR LOGÍSTICO</v>
          </cell>
          <cell r="AE86" t="str">
            <v>OPERADOR LOGÍSTICO</v>
          </cell>
          <cell r="AF86">
            <v>1563573.94957983</v>
          </cell>
          <cell r="AG86">
            <v>297079.05042016809</v>
          </cell>
          <cell r="AH86">
            <v>1860653</v>
          </cell>
          <cell r="AI86" t="str">
            <v>OPERADOR LOGÍSTICO</v>
          </cell>
          <cell r="AJ86" t="str">
            <v>OPERADOR LOGÍSTICO</v>
          </cell>
          <cell r="AK86" t="str">
            <v>OPERADOR LOGÍSTICO</v>
          </cell>
          <cell r="AL86" t="str">
            <v>OPERADOR LOGÍSTICO</v>
          </cell>
          <cell r="AM86" t="str">
            <v>FUNCAS</v>
          </cell>
          <cell r="AN86" t="str">
            <v>OPERADOR LOGÍSTICO</v>
          </cell>
          <cell r="AO86" t="str">
            <v>OPERADOR LOGÍSTICO</v>
          </cell>
          <cell r="AP86" t="str">
            <v>OPERADOR LOGÍSTICO</v>
          </cell>
          <cell r="AQ86">
            <v>1518249</v>
          </cell>
          <cell r="AR86">
            <v>288467</v>
          </cell>
          <cell r="AS86">
            <v>1806716</v>
          </cell>
          <cell r="AT86">
            <v>1518249</v>
          </cell>
          <cell r="AU86">
            <v>1806716</v>
          </cell>
          <cell r="AV86">
            <v>1685145</v>
          </cell>
          <cell r="AW86">
            <v>1685145</v>
          </cell>
          <cell r="AX86" t="str">
            <v/>
          </cell>
          <cell r="AY86">
            <v>2.0799999999999999E-2</v>
          </cell>
        </row>
        <row r="87">
          <cell r="D87" t="str">
            <v>Auditorio para 50 personas media jornada</v>
          </cell>
          <cell r="E87" t="str">
            <v>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v>
          </cell>
          <cell r="F87" t="str">
            <v>Unidad</v>
          </cell>
          <cell r="G87">
            <v>1</v>
          </cell>
          <cell r="H87" t="str">
            <v>Alquiler</v>
          </cell>
          <cell r="I87" t="str">
            <v>Michael Bautista</v>
          </cell>
          <cell r="J87">
            <v>46056</v>
          </cell>
          <cell r="K87" t="str">
            <v>D&amp;R PRODUCCIONES_13_03_26.pdf</v>
          </cell>
          <cell r="L87" t="str">
            <v>Gestión</v>
          </cell>
          <cell r="M87" t="str">
            <v>D&amp;R PRODUCCIONES SAS</v>
          </cell>
          <cell r="N87">
            <v>3150000</v>
          </cell>
          <cell r="O87" t="str">
            <v>Precio sin Iva</v>
          </cell>
          <cell r="P87" t="str">
            <v>Si tiene IVA</v>
          </cell>
          <cell r="Q87">
            <v>3150000</v>
          </cell>
          <cell r="R87">
            <v>598500</v>
          </cell>
          <cell r="S87">
            <v>3748500</v>
          </cell>
          <cell r="T87">
            <v>3150000</v>
          </cell>
          <cell r="U87">
            <v>3748500</v>
          </cell>
          <cell r="V87" t="str">
            <v>Sandra Vargas</v>
          </cell>
          <cell r="W87">
            <v>46142</v>
          </cell>
          <cell r="X87" t="str">
            <v>EFECTO_MASIVO_24_03.pdf</v>
          </cell>
          <cell r="Y87" t="str">
            <v>Transcripción</v>
          </cell>
          <cell r="Z87" t="str">
            <v>EFECTO MASIVO</v>
          </cell>
          <cell r="AA87">
            <v>3200000</v>
          </cell>
          <cell r="AB87" t="str">
            <v>Precio sin Iva</v>
          </cell>
          <cell r="AC87" t="str">
            <v>Si tiene IVA</v>
          </cell>
          <cell r="AD87">
            <v>3200000</v>
          </cell>
          <cell r="AE87">
            <v>608000</v>
          </cell>
          <cell r="AF87">
            <v>3808000</v>
          </cell>
          <cell r="AG87">
            <v>3200000</v>
          </cell>
          <cell r="AH87">
            <v>3808000</v>
          </cell>
          <cell r="AI87" t="str">
            <v>Carol lópez</v>
          </cell>
          <cell r="AJ87">
            <v>46132</v>
          </cell>
          <cell r="AK87" t="str">
            <v>AMCI INGENIEROS 17-04-2026 .pdf</v>
          </cell>
          <cell r="AL87" t="str">
            <v>Transcripción</v>
          </cell>
          <cell r="AM87" t="str">
            <v>AMCI INGENIERIAS SAS</v>
          </cell>
          <cell r="AN87">
            <v>2865546.22</v>
          </cell>
          <cell r="AO87" t="str">
            <v>Precio sin Iva</v>
          </cell>
          <cell r="AP87" t="str">
            <v>Si tiene IVA</v>
          </cell>
          <cell r="AQ87">
            <v>2865546.22</v>
          </cell>
          <cell r="AR87">
            <v>544453.7818</v>
          </cell>
          <cell r="AS87">
            <v>3410000.0018000002</v>
          </cell>
          <cell r="AT87">
            <v>2865546.22</v>
          </cell>
          <cell r="AU87">
            <v>3410000.0018000002</v>
          </cell>
          <cell r="AV87">
            <v>3655500</v>
          </cell>
          <cell r="AW87">
            <v>3655500</v>
          </cell>
          <cell r="AX87">
            <v>214681</v>
          </cell>
          <cell r="AY87">
            <v>5.8728217754069202E-2</v>
          </cell>
          <cell r="BA87">
            <v>3</v>
          </cell>
        </row>
        <row r="88">
          <cell r="D88" t="str">
            <v>Bisturí mediano</v>
          </cell>
          <cell r="E88" t="str">
            <v>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v>
          </cell>
          <cell r="F88" t="str">
            <v>Unidad</v>
          </cell>
          <cell r="G88">
            <v>1</v>
          </cell>
          <cell r="H88" t="str">
            <v>Compra</v>
          </cell>
          <cell r="I88" t="str">
            <v>Sandra Vargas</v>
          </cell>
          <cell r="J88">
            <v>46069</v>
          </cell>
          <cell r="K88" t="str">
            <v>JEN SA_Bisturí multiusos cuerpo metálico DISCOVER 9 mm</v>
          </cell>
          <cell r="L88" t="str">
            <v>Gestión</v>
          </cell>
          <cell r="M88" t="str">
            <v>JEN SA</v>
          </cell>
          <cell r="N88">
            <v>10990</v>
          </cell>
          <cell r="O88" t="str">
            <v>IVA incluido</v>
          </cell>
          <cell r="P88" t="str">
            <v>Si tiene IVA</v>
          </cell>
          <cell r="Q88">
            <v>9235.2941176470595</v>
          </cell>
          <cell r="R88">
            <v>1754.705882352941</v>
          </cell>
          <cell r="S88">
            <v>10990</v>
          </cell>
          <cell r="T88">
            <v>10990</v>
          </cell>
          <cell r="U88">
            <v>10990</v>
          </cell>
          <cell r="V88" t="str">
            <v>Sandra Vargas</v>
          </cell>
          <cell r="W88">
            <v>46069</v>
          </cell>
          <cell r="X88" t="str">
            <v>Adh Papeles Adhesivos_BISTURI METALICO ADH DE 9 MM METALICO CT-61231</v>
          </cell>
          <cell r="Y88" t="str">
            <v>Gestión</v>
          </cell>
          <cell r="Z88" t="str">
            <v>ADH PAPELES ADHESIVOS</v>
          </cell>
          <cell r="AA88">
            <v>10725</v>
          </cell>
          <cell r="AB88" t="str">
            <v>IVA incluido</v>
          </cell>
          <cell r="AC88" t="str">
            <v>Si tiene IVA</v>
          </cell>
          <cell r="AD88">
            <v>9012.6050420168067</v>
          </cell>
          <cell r="AE88">
            <v>1712.3949579831931</v>
          </cell>
          <cell r="AF88">
            <v>10725</v>
          </cell>
          <cell r="AG88">
            <v>10725</v>
          </cell>
          <cell r="AH88">
            <v>10725</v>
          </cell>
          <cell r="AI88" t="str">
            <v>Sandra Vargas</v>
          </cell>
          <cell r="AJ88">
            <v>46069</v>
          </cell>
          <cell r="AK88" t="str">
            <v>Easy Colombia_Bisturí 9 mm Forte</v>
          </cell>
          <cell r="AL88" t="str">
            <v>Gestión</v>
          </cell>
          <cell r="AM88" t="str">
            <v>EASY COLOMBIA</v>
          </cell>
          <cell r="AN88">
            <v>9990</v>
          </cell>
          <cell r="AO88" t="str">
            <v>IVA incluido</v>
          </cell>
          <cell r="AP88" t="str">
            <v>Si tiene IVA</v>
          </cell>
          <cell r="AQ88">
            <v>8394.957983193277</v>
          </cell>
          <cell r="AR88">
            <v>1595.042016806723</v>
          </cell>
          <cell r="AS88">
            <v>9990</v>
          </cell>
          <cell r="AT88">
            <v>9990</v>
          </cell>
          <cell r="AU88">
            <v>9990</v>
          </cell>
          <cell r="AV88">
            <v>10568</v>
          </cell>
          <cell r="AW88">
            <v>10568</v>
          </cell>
          <cell r="AX88">
            <v>518</v>
          </cell>
          <cell r="AY88">
            <v>4.9015897047691097E-2</v>
          </cell>
          <cell r="BA88">
            <v>3</v>
          </cell>
        </row>
        <row r="89">
          <cell r="D89" t="str">
            <v>Bitácora icopel ½ papel bond 50 hojas</v>
          </cell>
          <cell r="E89" t="str">
            <v>Bitácora icopel ½ papel bond 50 hojas. Papel bond blanco 75 g/m².</v>
          </cell>
          <cell r="F89" t="str">
            <v>Unidad</v>
          </cell>
          <cell r="G89">
            <v>1</v>
          </cell>
          <cell r="H89" t="str">
            <v>Compra</v>
          </cell>
          <cell r="I89" t="str">
            <v>Sandra Vargas</v>
          </cell>
          <cell r="J89">
            <v>46069</v>
          </cell>
          <cell r="K89" t="str">
            <v>Gran papelera_Varios 11-02-2026</v>
          </cell>
          <cell r="L89" t="str">
            <v>Gestión</v>
          </cell>
          <cell r="M89" t="str">
            <v>Gran Papelera</v>
          </cell>
          <cell r="N89">
            <v>11000</v>
          </cell>
          <cell r="O89" t="str">
            <v>IVA incluido</v>
          </cell>
          <cell r="P89" t="str">
            <v>Si tiene IVA</v>
          </cell>
          <cell r="Q89">
            <v>9243.6974789915967</v>
          </cell>
          <cell r="R89">
            <v>1756.3025210084029</v>
          </cell>
          <cell r="S89">
            <v>11000</v>
          </cell>
          <cell r="T89">
            <v>11000</v>
          </cell>
          <cell r="U89">
            <v>11000</v>
          </cell>
          <cell r="V89" t="str">
            <v>Sandra Vargas</v>
          </cell>
          <cell r="W89">
            <v>46069</v>
          </cell>
          <cell r="X89" t="str">
            <v>Cartel arte y papeleria_varios</v>
          </cell>
          <cell r="Y89" t="str">
            <v>Gestión</v>
          </cell>
          <cell r="Z89" t="str">
            <v>Cartel Arte y papeleria</v>
          </cell>
          <cell r="AA89">
            <v>9400</v>
          </cell>
          <cell r="AB89" t="str">
            <v>IVA incluido</v>
          </cell>
          <cell r="AC89" t="str">
            <v>Si tiene IVA</v>
          </cell>
          <cell r="AD89">
            <v>7899.1596638655456</v>
          </cell>
          <cell r="AE89">
            <v>1500.840336134454</v>
          </cell>
          <cell r="AF89">
            <v>9400</v>
          </cell>
          <cell r="AG89">
            <v>9400</v>
          </cell>
          <cell r="AH89">
            <v>9400</v>
          </cell>
          <cell r="AI89" t="str">
            <v>Sandra Vargas</v>
          </cell>
          <cell r="AJ89">
            <v>46069</v>
          </cell>
          <cell r="AK89" t="str">
            <v>Icopel_Bitácora icopel ½ papel bond 50 hojas</v>
          </cell>
          <cell r="AL89" t="str">
            <v>Gestión</v>
          </cell>
          <cell r="AM89" t="str">
            <v>Icopel</v>
          </cell>
          <cell r="AN89">
            <v>11900</v>
          </cell>
          <cell r="AO89" t="str">
            <v>IVA incluido</v>
          </cell>
          <cell r="AP89" t="str">
            <v>Si tiene IVA</v>
          </cell>
          <cell r="AQ89">
            <v>10000</v>
          </cell>
          <cell r="AR89">
            <v>1900</v>
          </cell>
          <cell r="AS89">
            <v>11900</v>
          </cell>
          <cell r="AT89">
            <v>11900</v>
          </cell>
          <cell r="AU89">
            <v>11900</v>
          </cell>
          <cell r="AV89">
            <v>10767</v>
          </cell>
          <cell r="AW89">
            <v>10767</v>
          </cell>
          <cell r="AX89">
            <v>1266</v>
          </cell>
          <cell r="AY89">
            <v>0.117581499024798</v>
          </cell>
          <cell r="BA89">
            <v>3</v>
          </cell>
        </row>
        <row r="90">
          <cell r="D90" t="str">
            <v>Block iris tamaño carta</v>
          </cell>
          <cell r="E90" t="str">
            <v>Block de papel Iris, con hojas de 125 g/m², tamaño carta (21.6 x 27.9 cm), x 50 hojas</v>
          </cell>
          <cell r="F90" t="str">
            <v>Unidad</v>
          </cell>
          <cell r="G90">
            <v>1</v>
          </cell>
          <cell r="H90" t="str">
            <v>Compra</v>
          </cell>
          <cell r="I90" t="str">
            <v>Sandra Vargas</v>
          </cell>
          <cell r="J90">
            <v>46070</v>
          </cell>
          <cell r="K90" t="str">
            <v>Comercializadora tj_Varios</v>
          </cell>
          <cell r="L90" t="str">
            <v>Gestión</v>
          </cell>
          <cell r="M90" t="str">
            <v>Comercializadora Tj</v>
          </cell>
          <cell r="N90">
            <v>2700</v>
          </cell>
          <cell r="O90" t="str">
            <v>Precio sin Iva</v>
          </cell>
          <cell r="P90" t="str">
            <v>Si tiene IVA</v>
          </cell>
          <cell r="Q90">
            <v>2700</v>
          </cell>
          <cell r="R90">
            <v>513</v>
          </cell>
          <cell r="S90">
            <v>3213</v>
          </cell>
          <cell r="T90">
            <v>2700</v>
          </cell>
          <cell r="U90">
            <v>3213</v>
          </cell>
          <cell r="V90" t="str">
            <v>Sandra Vargas</v>
          </cell>
          <cell r="W90">
            <v>46070</v>
          </cell>
          <cell r="X90" t="str">
            <v>Tienda estudiantil_Varios</v>
          </cell>
          <cell r="Y90" t="str">
            <v>Gestión</v>
          </cell>
          <cell r="Z90" t="str">
            <v>Tienda Estudiantil</v>
          </cell>
          <cell r="AA90">
            <v>2706</v>
          </cell>
          <cell r="AB90" t="str">
            <v>IVA incluido</v>
          </cell>
          <cell r="AC90" t="str">
            <v>Si tiene IVA</v>
          </cell>
          <cell r="AD90">
            <v>2273.9495798319331</v>
          </cell>
          <cell r="AE90">
            <v>432.05042016806721</v>
          </cell>
          <cell r="AF90">
            <v>2706</v>
          </cell>
          <cell r="AG90">
            <v>2706</v>
          </cell>
          <cell r="AH90">
            <v>2706</v>
          </cell>
          <cell r="AI90" t="str">
            <v>Sandra Vargas</v>
          </cell>
          <cell r="AJ90">
            <v>46070</v>
          </cell>
          <cell r="AK90" t="str">
            <v>Renovacion libreria y papeleria_Varios 16-02-2026...</v>
          </cell>
          <cell r="AL90" t="str">
            <v>Gestión</v>
          </cell>
          <cell r="AM90" t="str">
            <v>Renovacion Libreria y Papeleria</v>
          </cell>
          <cell r="AN90">
            <v>3026</v>
          </cell>
          <cell r="AO90" t="str">
            <v>Precio sin Iva</v>
          </cell>
          <cell r="AP90" t="str">
            <v>Si tiene IVA</v>
          </cell>
          <cell r="AQ90">
            <v>3026</v>
          </cell>
          <cell r="AR90">
            <v>574.94000000000005</v>
          </cell>
          <cell r="AS90">
            <v>3600.94</v>
          </cell>
          <cell r="AT90">
            <v>3026</v>
          </cell>
          <cell r="AU90">
            <v>3600.94</v>
          </cell>
          <cell r="AV90">
            <v>3173</v>
          </cell>
          <cell r="AW90">
            <v>3173</v>
          </cell>
          <cell r="AX90">
            <v>449</v>
          </cell>
          <cell r="AY90">
            <v>0.141506460762685</v>
          </cell>
          <cell r="BA90">
            <v>3</v>
          </cell>
        </row>
        <row r="91">
          <cell r="D91" t="str">
            <v>Block iris tamaño oficio</v>
          </cell>
          <cell r="E91" t="str">
            <v>Block de papel Iris, con hojas de 125 g/m²,tamaño oficio (21.6 x 33 cm), x 50 hojas</v>
          </cell>
          <cell r="F91" t="str">
            <v>Unidad</v>
          </cell>
          <cell r="G91">
            <v>1</v>
          </cell>
          <cell r="H91" t="str">
            <v>Compra</v>
          </cell>
          <cell r="I91" t="str">
            <v>Sandra Vargas</v>
          </cell>
          <cell r="J91">
            <v>46070</v>
          </cell>
          <cell r="K91" t="str">
            <v>Tienda estudiantil_Varios</v>
          </cell>
          <cell r="L91" t="str">
            <v>Gestión</v>
          </cell>
          <cell r="M91" t="str">
            <v>Tienda Estudiantil</v>
          </cell>
          <cell r="N91">
            <v>2898</v>
          </cell>
          <cell r="O91" t="str">
            <v>Precio sin Iva</v>
          </cell>
          <cell r="P91" t="str">
            <v>Si tiene IVA</v>
          </cell>
          <cell r="Q91">
            <v>2898</v>
          </cell>
          <cell r="R91">
            <v>550.62</v>
          </cell>
          <cell r="S91">
            <v>3448.62</v>
          </cell>
          <cell r="T91">
            <v>2898</v>
          </cell>
          <cell r="U91">
            <v>3448.62</v>
          </cell>
          <cell r="V91" t="str">
            <v>Sandra Vargas</v>
          </cell>
          <cell r="W91">
            <v>46070</v>
          </cell>
          <cell r="X91" t="str">
            <v>Comercializadora tj_Varios</v>
          </cell>
          <cell r="Y91" t="str">
            <v>Gestión</v>
          </cell>
          <cell r="Z91" t="str">
            <v>Comercializadora Tj</v>
          </cell>
          <cell r="AA91">
            <v>3400</v>
          </cell>
          <cell r="AB91" t="str">
            <v>Precio sin Iva</v>
          </cell>
          <cell r="AC91" t="str">
            <v>Si tiene IVA</v>
          </cell>
          <cell r="AD91">
            <v>3400</v>
          </cell>
          <cell r="AE91">
            <v>646</v>
          </cell>
          <cell r="AF91">
            <v>4046</v>
          </cell>
          <cell r="AG91">
            <v>3400</v>
          </cell>
          <cell r="AH91">
            <v>4046</v>
          </cell>
          <cell r="AI91" t="str">
            <v>Sandra Vargas</v>
          </cell>
          <cell r="AJ91">
            <v>46070</v>
          </cell>
          <cell r="AK91" t="str">
            <v>Renovacion libreria y papeleria_Varios 16-02-2026...</v>
          </cell>
          <cell r="AL91" t="str">
            <v>Gestión</v>
          </cell>
          <cell r="AM91" t="str">
            <v>Renovacion Libreria y Papeleria</v>
          </cell>
          <cell r="AN91">
            <v>3361</v>
          </cell>
          <cell r="AO91" t="str">
            <v>Precio sin Iva</v>
          </cell>
          <cell r="AP91" t="str">
            <v>Si tiene IVA</v>
          </cell>
          <cell r="AQ91">
            <v>3361</v>
          </cell>
          <cell r="AR91">
            <v>638.59</v>
          </cell>
          <cell r="AS91">
            <v>3999.59</v>
          </cell>
          <cell r="AT91">
            <v>3361</v>
          </cell>
          <cell r="AU91">
            <v>3999.59</v>
          </cell>
          <cell r="AV91">
            <v>3831</v>
          </cell>
          <cell r="AW91">
            <v>3831</v>
          </cell>
          <cell r="AX91">
            <v>332</v>
          </cell>
          <cell r="AY91">
            <v>8.6661446097624606E-2</v>
          </cell>
          <cell r="BA91">
            <v>3</v>
          </cell>
        </row>
        <row r="92">
          <cell r="D92" t="str">
            <v>Block papel acuarela tamaño carta</v>
          </cell>
          <cell r="E92" t="str">
            <v>Block papel acuarela tamaño carta (21.6 x 27.9 cm). prensado en frío (grano fino o medio). Libre de ácido, resistente al agua y pigmentos.</v>
          </cell>
          <cell r="F92" t="str">
            <v>Unidad</v>
          </cell>
          <cell r="G92">
            <v>1</v>
          </cell>
          <cell r="H92" t="str">
            <v>Compra</v>
          </cell>
          <cell r="I92" t="str">
            <v>Sandra Vargas</v>
          </cell>
          <cell r="J92">
            <v>46069</v>
          </cell>
          <cell r="K92" t="str">
            <v>Tienda estudiantil_Varios.pdf</v>
          </cell>
          <cell r="L92" t="str">
            <v>Gestión</v>
          </cell>
          <cell r="M92" t="str">
            <v>Tienda Estudiantil</v>
          </cell>
          <cell r="N92">
            <v>49411</v>
          </cell>
          <cell r="O92" t="str">
            <v>Precio sin Iva</v>
          </cell>
          <cell r="P92" t="str">
            <v>Si tiene IVA</v>
          </cell>
          <cell r="Q92">
            <v>49411</v>
          </cell>
          <cell r="R92">
            <v>9388.09</v>
          </cell>
          <cell r="S92">
            <v>58799.09</v>
          </cell>
          <cell r="T92">
            <v>49411</v>
          </cell>
          <cell r="U92">
            <v>58799.09</v>
          </cell>
          <cell r="V92" t="str">
            <v>Sandra Vargas</v>
          </cell>
          <cell r="W92">
            <v>46069</v>
          </cell>
          <cell r="X92" t="str">
            <v>Comercializadora tj_Varios</v>
          </cell>
          <cell r="Y92" t="str">
            <v>Gestión</v>
          </cell>
          <cell r="Z92" t="str">
            <v>Comercializadora TJ</v>
          </cell>
          <cell r="AA92">
            <v>45900</v>
          </cell>
          <cell r="AB92" t="str">
            <v>Precio sin Iva</v>
          </cell>
          <cell r="AC92" t="str">
            <v>Si tiene IVA</v>
          </cell>
          <cell r="AD92">
            <v>45900</v>
          </cell>
          <cell r="AE92">
            <v>8721</v>
          </cell>
          <cell r="AF92">
            <v>54621</v>
          </cell>
          <cell r="AG92">
            <v>45900</v>
          </cell>
          <cell r="AH92">
            <v>54621</v>
          </cell>
          <cell r="AI92" t="str">
            <v>Sandra Vargas</v>
          </cell>
          <cell r="AJ92">
            <v>46069</v>
          </cell>
          <cell r="AK92" t="str">
            <v>Gran papelera_Varios 11-02-2026</v>
          </cell>
          <cell r="AL92" t="str">
            <v>Gestión</v>
          </cell>
          <cell r="AM92" t="str">
            <v>Gran Papelera</v>
          </cell>
          <cell r="AN92">
            <v>49000</v>
          </cell>
          <cell r="AO92" t="str">
            <v>IVA incluido</v>
          </cell>
          <cell r="AP92" t="str">
            <v>Si tiene IVA</v>
          </cell>
          <cell r="AQ92">
            <v>41176.470588235286</v>
          </cell>
          <cell r="AR92">
            <v>7823.5294117647063</v>
          </cell>
          <cell r="AS92">
            <v>49000</v>
          </cell>
          <cell r="AT92">
            <v>49000</v>
          </cell>
          <cell r="AU92">
            <v>49000</v>
          </cell>
          <cell r="AV92">
            <v>54140</v>
          </cell>
          <cell r="AW92">
            <v>54140</v>
          </cell>
          <cell r="AX92">
            <v>4917</v>
          </cell>
          <cell r="AY92">
            <v>9.0820096047284804E-2</v>
          </cell>
          <cell r="BA92">
            <v>3</v>
          </cell>
        </row>
        <row r="93">
          <cell r="D93" t="str">
            <v>Block papel mantequilla tamaño carta (50 h)</v>
          </cell>
          <cell r="E93" t="str">
            <v>Papel mantequilla block tamaño carta  Gramaje: 40–60 g/m² aprox., 35 -40 hojas Translúcido, superficie lisa y semipermeable.</v>
          </cell>
          <cell r="F93" t="str">
            <v>Unidad</v>
          </cell>
          <cell r="G93">
            <v>1</v>
          </cell>
          <cell r="H93" t="str">
            <v>Compra</v>
          </cell>
          <cell r="I93" t="str">
            <v>Sandra Vargas</v>
          </cell>
          <cell r="J93">
            <v>46070</v>
          </cell>
          <cell r="K93" t="str">
            <v>Gran papelera_Varios 11-02-2026</v>
          </cell>
          <cell r="L93" t="str">
            <v>Gestión</v>
          </cell>
          <cell r="M93" t="str">
            <v>Gran Papelera</v>
          </cell>
          <cell r="N93">
            <v>5000</v>
          </cell>
          <cell r="O93" t="str">
            <v>IVA incluido</v>
          </cell>
          <cell r="P93" t="str">
            <v>Si tiene IVA</v>
          </cell>
          <cell r="Q93">
            <v>4201.6806722689071</v>
          </cell>
          <cell r="R93">
            <v>798.31932773109236</v>
          </cell>
          <cell r="S93">
            <v>5000</v>
          </cell>
          <cell r="T93">
            <v>5000</v>
          </cell>
          <cell r="U93">
            <v>5000</v>
          </cell>
          <cell r="V93" t="str">
            <v>Sandra Vargas</v>
          </cell>
          <cell r="W93">
            <v>46070</v>
          </cell>
          <cell r="X93" t="str">
            <v>Comercializadora tj_Varios</v>
          </cell>
          <cell r="Y93" t="str">
            <v>Gestión</v>
          </cell>
          <cell r="Z93" t="str">
            <v>Comercializadora Tj</v>
          </cell>
          <cell r="AA93">
            <v>4875</v>
          </cell>
          <cell r="AB93" t="str">
            <v>IVA incluido</v>
          </cell>
          <cell r="AC93" t="str">
            <v>Si tiene IVA</v>
          </cell>
          <cell r="AD93">
            <v>4096.6386554621849</v>
          </cell>
          <cell r="AE93">
            <v>778.36134453781506</v>
          </cell>
          <cell r="AF93">
            <v>4875</v>
          </cell>
          <cell r="AG93">
            <v>4875</v>
          </cell>
          <cell r="AH93">
            <v>4875</v>
          </cell>
          <cell r="AI93" t="str">
            <v>Sandra Vargas</v>
          </cell>
          <cell r="AJ93">
            <v>46070</v>
          </cell>
          <cell r="AK93" t="str">
            <v>Papeleria estacion de suba_Varios</v>
          </cell>
          <cell r="AL93" t="str">
            <v>Gestión</v>
          </cell>
          <cell r="AM93" t="str">
            <v>Papeleria Estacion de Suba</v>
          </cell>
          <cell r="AN93">
            <v>6200</v>
          </cell>
          <cell r="AO93" t="str">
            <v>IVA incluido</v>
          </cell>
          <cell r="AP93" t="str">
            <v>Si tiene IVA</v>
          </cell>
          <cell r="AQ93">
            <v>5210.0840336134452</v>
          </cell>
          <cell r="AR93">
            <v>989.9159663865546</v>
          </cell>
          <cell r="AS93">
            <v>6200</v>
          </cell>
          <cell r="AT93">
            <v>6200</v>
          </cell>
          <cell r="AU93">
            <v>6200</v>
          </cell>
          <cell r="AV93">
            <v>5358</v>
          </cell>
          <cell r="AW93">
            <v>5358</v>
          </cell>
          <cell r="AX93">
            <v>732</v>
          </cell>
          <cell r="AY93">
            <v>0.13661814109742401</v>
          </cell>
          <cell r="BA93">
            <v>3</v>
          </cell>
        </row>
        <row r="94">
          <cell r="D94" t="str">
            <v>Block papel origami 15cm x 15cm</v>
          </cell>
          <cell r="E94" t="str">
            <v>Block de papel Origami, 50 hojas Medidas: 15 cm x 15 cm x 0.8 cm en empaque</v>
          </cell>
          <cell r="F94" t="str">
            <v>Unidad</v>
          </cell>
          <cell r="G94">
            <v>1</v>
          </cell>
          <cell r="H94" t="str">
            <v>Compra</v>
          </cell>
          <cell r="I94" t="str">
            <v>Sandra Vargas</v>
          </cell>
          <cell r="J94">
            <v>46069</v>
          </cell>
          <cell r="K94" t="str">
            <v>Gran papelera_Varios 11-02-2026</v>
          </cell>
          <cell r="L94" t="str">
            <v>Gestión</v>
          </cell>
          <cell r="M94" t="str">
            <v>Gran Papelera</v>
          </cell>
          <cell r="N94">
            <v>4400</v>
          </cell>
          <cell r="O94" t="str">
            <v>IVA incluido</v>
          </cell>
          <cell r="P94" t="str">
            <v>Si tiene IVA</v>
          </cell>
          <cell r="Q94">
            <v>3697.4789915966389</v>
          </cell>
          <cell r="R94">
            <v>702.52100840336141</v>
          </cell>
          <cell r="S94">
            <v>4400</v>
          </cell>
          <cell r="T94">
            <v>4400</v>
          </cell>
          <cell r="U94">
            <v>4400</v>
          </cell>
          <cell r="V94" t="str">
            <v>Sandra Vargas</v>
          </cell>
          <cell r="W94">
            <v>46069</v>
          </cell>
          <cell r="X94" t="str">
            <v>Renovacion libreria y papeleria_Varios 16-02-2026...</v>
          </cell>
          <cell r="Y94" t="str">
            <v>Gestión</v>
          </cell>
          <cell r="Z94" t="str">
            <v>Renovacion Libreria y Papeleria</v>
          </cell>
          <cell r="AA94">
            <v>3950</v>
          </cell>
          <cell r="AB94" t="str">
            <v>Precio sin Iva</v>
          </cell>
          <cell r="AC94" t="str">
            <v>Si tiene IVA</v>
          </cell>
          <cell r="AD94">
            <v>3950</v>
          </cell>
          <cell r="AE94">
            <v>750.5</v>
          </cell>
          <cell r="AF94">
            <v>4700.5</v>
          </cell>
          <cell r="AG94">
            <v>3950</v>
          </cell>
          <cell r="AH94">
            <v>4700.5</v>
          </cell>
          <cell r="AI94" t="str">
            <v>Sandra Vargas</v>
          </cell>
          <cell r="AJ94">
            <v>46069</v>
          </cell>
          <cell r="AK94" t="str">
            <v>Comercial papelera_Block Belpapel Origami 15x15cm x50 hjs</v>
          </cell>
          <cell r="AL94" t="str">
            <v>Gestión</v>
          </cell>
          <cell r="AM94" t="str">
            <v>Comercial Papelera</v>
          </cell>
          <cell r="AN94">
            <v>4900</v>
          </cell>
          <cell r="AO94" t="str">
            <v>IVA incluido</v>
          </cell>
          <cell r="AP94" t="str">
            <v>Si tiene IVA</v>
          </cell>
          <cell r="AQ94">
            <v>4117.6470588235297</v>
          </cell>
          <cell r="AR94">
            <v>782.35294117647061</v>
          </cell>
          <cell r="AS94">
            <v>4900</v>
          </cell>
          <cell r="AT94">
            <v>4900</v>
          </cell>
          <cell r="AU94">
            <v>4900</v>
          </cell>
          <cell r="AV94">
            <v>4667</v>
          </cell>
          <cell r="AW94">
            <v>4667</v>
          </cell>
          <cell r="AX94">
            <v>252</v>
          </cell>
          <cell r="AY94">
            <v>5.3996143132633401E-2</v>
          </cell>
          <cell r="BA94">
            <v>3</v>
          </cell>
        </row>
        <row r="95">
          <cell r="D95" t="str">
            <v>Bloque de plastilina 250 gr.</v>
          </cell>
          <cell r="E95" t="str">
            <v>Plastilina en bloque x 250 gr, en colores surtidos</v>
          </cell>
          <cell r="F95" t="str">
            <v>Unidad</v>
          </cell>
          <cell r="G95">
            <v>1</v>
          </cell>
          <cell r="H95" t="str">
            <v>Compra</v>
          </cell>
          <cell r="I95" t="str">
            <v>Sandra Vargas</v>
          </cell>
          <cell r="J95">
            <v>46070</v>
          </cell>
          <cell r="K95" t="str">
            <v>Gran papelera_Varios 11-02-2026</v>
          </cell>
          <cell r="L95" t="str">
            <v>Gestión</v>
          </cell>
          <cell r="M95" t="str">
            <v>Gran Papelera</v>
          </cell>
          <cell r="N95">
            <v>5600</v>
          </cell>
          <cell r="O95" t="str">
            <v>IVA incluido</v>
          </cell>
          <cell r="P95" t="str">
            <v>Si tiene IVA</v>
          </cell>
          <cell r="Q95">
            <v>4705.8823529411766</v>
          </cell>
          <cell r="R95">
            <v>894.11764705882354</v>
          </cell>
          <cell r="S95">
            <v>5600</v>
          </cell>
          <cell r="T95">
            <v>5600</v>
          </cell>
          <cell r="U95">
            <v>5600</v>
          </cell>
          <cell r="V95" t="str">
            <v>Sandra Vargas</v>
          </cell>
          <cell r="W95">
            <v>46070</v>
          </cell>
          <cell r="X95" t="str">
            <v>Papeleria estacion de suba_Varios</v>
          </cell>
          <cell r="Y95" t="str">
            <v>Gestión</v>
          </cell>
          <cell r="Z95" t="str">
            <v>Papeleria la Estacion de Suba</v>
          </cell>
          <cell r="AA95">
            <v>5600</v>
          </cell>
          <cell r="AB95" t="str">
            <v>IVA incluido</v>
          </cell>
          <cell r="AC95" t="str">
            <v>Si tiene IVA</v>
          </cell>
          <cell r="AD95">
            <v>4705.8823529411766</v>
          </cell>
          <cell r="AE95">
            <v>894.11764705882354</v>
          </cell>
          <cell r="AF95">
            <v>5600</v>
          </cell>
          <cell r="AG95">
            <v>5600</v>
          </cell>
          <cell r="AH95">
            <v>5600</v>
          </cell>
          <cell r="AI95" t="str">
            <v>Sandra Vargas</v>
          </cell>
          <cell r="AJ95">
            <v>46070</v>
          </cell>
          <cell r="AK95" t="str">
            <v>Papelería gran central_varios 06-02-2026</v>
          </cell>
          <cell r="AL95" t="str">
            <v>Gestión</v>
          </cell>
          <cell r="AM95" t="str">
            <v>Papeleria gran Estacion</v>
          </cell>
          <cell r="AN95">
            <v>5000</v>
          </cell>
          <cell r="AO95" t="str">
            <v>IVA incluido</v>
          </cell>
          <cell r="AP95" t="str">
            <v>Si tiene IVA</v>
          </cell>
          <cell r="AQ95">
            <v>4201.6806722689071</v>
          </cell>
          <cell r="AR95">
            <v>798.31932773109236</v>
          </cell>
          <cell r="AS95">
            <v>5000</v>
          </cell>
          <cell r="AT95">
            <v>5000</v>
          </cell>
          <cell r="AU95">
            <v>5000</v>
          </cell>
          <cell r="AV95">
            <v>5400</v>
          </cell>
          <cell r="AW95">
            <v>5400</v>
          </cell>
          <cell r="AX95">
            <v>346</v>
          </cell>
          <cell r="AY95">
            <v>6.4074074074074103E-2</v>
          </cell>
          <cell r="BA95">
            <v>3</v>
          </cell>
        </row>
        <row r="96">
          <cell r="D96" t="str">
            <v>Bola de icopor diametro 10 cm</v>
          </cell>
          <cell r="E96" t="str">
            <v>Bolas de icopor diametro 10 cm</v>
          </cell>
          <cell r="F96" t="str">
            <v>Unidad</v>
          </cell>
          <cell r="G96">
            <v>1</v>
          </cell>
          <cell r="H96" t="str">
            <v>Compra</v>
          </cell>
          <cell r="I96" t="str">
            <v>Sandra Vargas</v>
          </cell>
          <cell r="J96">
            <v>46070</v>
          </cell>
          <cell r="K96" t="str">
            <v>Tienda estudiantil_Varios</v>
          </cell>
          <cell r="L96" t="str">
            <v>Gestión</v>
          </cell>
          <cell r="M96" t="str">
            <v>Tienda Estudiantil</v>
          </cell>
          <cell r="N96">
            <v>990</v>
          </cell>
          <cell r="O96" t="str">
            <v>Precio sin Iva</v>
          </cell>
          <cell r="P96" t="str">
            <v>IVA incluido</v>
          </cell>
          <cell r="Q96">
            <v>990</v>
          </cell>
          <cell r="R96">
            <v>188</v>
          </cell>
          <cell r="S96">
            <v>1178</v>
          </cell>
          <cell r="T96">
            <v>990</v>
          </cell>
          <cell r="U96">
            <v>1178</v>
          </cell>
          <cell r="V96" t="str">
            <v>Sandra Vargas</v>
          </cell>
          <cell r="W96">
            <v>46070</v>
          </cell>
          <cell r="X96" t="str">
            <v>Papeleria estacion de suba_Varios</v>
          </cell>
          <cell r="Y96" t="str">
            <v>Gestión</v>
          </cell>
          <cell r="Z96" t="str">
            <v>Papeleria la Estacion de Suba</v>
          </cell>
          <cell r="AA96">
            <v>1200</v>
          </cell>
          <cell r="AB96" t="str">
            <v>IVA incluido</v>
          </cell>
          <cell r="AC96" t="str">
            <v>Si tiene IVA</v>
          </cell>
          <cell r="AD96">
            <v>1008.403361344538</v>
          </cell>
          <cell r="AE96">
            <v>191.59663865546219</v>
          </cell>
          <cell r="AF96">
            <v>1200</v>
          </cell>
          <cell r="AG96">
            <v>1200</v>
          </cell>
          <cell r="AH96">
            <v>1200</v>
          </cell>
          <cell r="AI96" t="str">
            <v>Sandra Vargas</v>
          </cell>
          <cell r="AJ96">
            <v>46070</v>
          </cell>
          <cell r="AK96" t="str">
            <v>Cartel arte y papeleria_varios</v>
          </cell>
          <cell r="AL96" t="str">
            <v>Gestión</v>
          </cell>
          <cell r="AM96" t="str">
            <v>Cartel Arte y Papeleria</v>
          </cell>
          <cell r="AN96">
            <v>1000</v>
          </cell>
          <cell r="AO96" t="str">
            <v>IVA incluido</v>
          </cell>
          <cell r="AP96" t="str">
            <v>Si tiene IVA</v>
          </cell>
          <cell r="AQ96">
            <v>840.3361344537816</v>
          </cell>
          <cell r="AR96">
            <v>159.66386554621849</v>
          </cell>
          <cell r="AS96">
            <v>1000</v>
          </cell>
          <cell r="AT96">
            <v>1000</v>
          </cell>
          <cell r="AU96">
            <v>1000</v>
          </cell>
          <cell r="AV96">
            <v>1126</v>
          </cell>
          <cell r="AW96">
            <v>1126</v>
          </cell>
          <cell r="AX96">
            <v>110</v>
          </cell>
          <cell r="AY96">
            <v>9.7690941385435104E-2</v>
          </cell>
          <cell r="BA96">
            <v>3</v>
          </cell>
        </row>
        <row r="97">
          <cell r="D97" t="str">
            <v>Bola de icopor diametro 15 cm</v>
          </cell>
          <cell r="E97" t="str">
            <v>Bolas de icopor diametro 15 cm</v>
          </cell>
          <cell r="F97" t="str">
            <v>Unidad</v>
          </cell>
          <cell r="G97">
            <v>1</v>
          </cell>
          <cell r="H97" t="str">
            <v>Compra</v>
          </cell>
          <cell r="I97" t="str">
            <v>Sandra Vargas</v>
          </cell>
          <cell r="J97">
            <v>46070</v>
          </cell>
          <cell r="K97" t="str">
            <v>Papeleria estacion de suba_Varios</v>
          </cell>
          <cell r="L97" t="str">
            <v>Gestión</v>
          </cell>
          <cell r="M97" t="str">
            <v>Papeleria  la Estacion de Suba</v>
          </cell>
          <cell r="N97">
            <v>2200</v>
          </cell>
          <cell r="O97" t="str">
            <v>IVA incluido</v>
          </cell>
          <cell r="P97" t="str">
            <v>Si tiene IVA</v>
          </cell>
          <cell r="Q97">
            <v>1848.739495798319</v>
          </cell>
          <cell r="R97">
            <v>351.2605042016807</v>
          </cell>
          <cell r="S97">
            <v>2200</v>
          </cell>
          <cell r="T97">
            <v>2200</v>
          </cell>
          <cell r="U97">
            <v>2200</v>
          </cell>
          <cell r="V97" t="str">
            <v>Sandra Vargas</v>
          </cell>
          <cell r="W97">
            <v>46070</v>
          </cell>
          <cell r="X97" t="str">
            <v>Tienda estudiantil_Varios</v>
          </cell>
          <cell r="Y97" t="str">
            <v>Gestión</v>
          </cell>
          <cell r="Z97" t="str">
            <v>Tienda Estudiantil</v>
          </cell>
          <cell r="AA97">
            <v>1990</v>
          </cell>
          <cell r="AB97" t="str">
            <v>Precio sin Iva</v>
          </cell>
          <cell r="AC97" t="str">
            <v>Si tiene IVA</v>
          </cell>
          <cell r="AD97">
            <v>1990</v>
          </cell>
          <cell r="AE97">
            <v>378.1</v>
          </cell>
          <cell r="AF97">
            <v>2368.1</v>
          </cell>
          <cell r="AG97">
            <v>1990</v>
          </cell>
          <cell r="AH97">
            <v>2368.1</v>
          </cell>
          <cell r="AI97" t="str">
            <v>Sandra Vargas</v>
          </cell>
          <cell r="AJ97">
            <v>46070</v>
          </cell>
          <cell r="AK97" t="str">
            <v>Renovacion libreria y papeleria_Varios 16-02-2026...</v>
          </cell>
          <cell r="AL97" t="str">
            <v>Gestión</v>
          </cell>
          <cell r="AM97" t="str">
            <v>Renovacion Libreria y Papeleria</v>
          </cell>
          <cell r="AN97">
            <v>2100</v>
          </cell>
          <cell r="AO97" t="str">
            <v>Precio sin Iva</v>
          </cell>
          <cell r="AP97" t="str">
            <v>Si tiene IVA</v>
          </cell>
          <cell r="AQ97">
            <v>2100</v>
          </cell>
          <cell r="AR97">
            <v>399</v>
          </cell>
          <cell r="AS97">
            <v>2499</v>
          </cell>
          <cell r="AT97">
            <v>2100</v>
          </cell>
          <cell r="AU97">
            <v>2499</v>
          </cell>
          <cell r="AV97">
            <v>2356</v>
          </cell>
          <cell r="AW97">
            <v>2356</v>
          </cell>
          <cell r="AX97">
            <v>150</v>
          </cell>
          <cell r="AY97">
            <v>6.3667232597623094E-2</v>
          </cell>
          <cell r="BA97">
            <v>3</v>
          </cell>
        </row>
        <row r="98">
          <cell r="D98" t="str">
            <v>Borrador nata caja x20</v>
          </cell>
          <cell r="E98" t="str">
            <v>Borrador de nata caja x20 unidades, tamaño grande (Ref. WS 30), dimensiones 62 x 22 mm aprox.</v>
          </cell>
          <cell r="F98" t="str">
            <v>Unidad</v>
          </cell>
          <cell r="G98">
            <v>1</v>
          </cell>
          <cell r="H98" t="str">
            <v>Compra</v>
          </cell>
          <cell r="I98" t="str">
            <v>Sandra Vargas</v>
          </cell>
          <cell r="J98">
            <v>46070</v>
          </cell>
          <cell r="K98" t="str">
            <v>Gran papelera_Varios 11-02-2026</v>
          </cell>
          <cell r="L98" t="str">
            <v>Gestión</v>
          </cell>
          <cell r="M98" t="str">
            <v>Gran Papelera</v>
          </cell>
          <cell r="N98">
            <v>20000</v>
          </cell>
          <cell r="O98" t="str">
            <v>IVA incluido</v>
          </cell>
          <cell r="P98" t="str">
            <v>Si tiene IVA</v>
          </cell>
          <cell r="Q98">
            <v>16806.722689075628</v>
          </cell>
          <cell r="R98">
            <v>3193.2773109243699</v>
          </cell>
          <cell r="S98">
            <v>20000</v>
          </cell>
          <cell r="T98">
            <v>20000</v>
          </cell>
          <cell r="U98">
            <v>20000</v>
          </cell>
          <cell r="V98" t="str">
            <v>Sandra Vargas</v>
          </cell>
          <cell r="W98">
            <v>46070</v>
          </cell>
          <cell r="X98" t="str">
            <v>Renovacion libreria y papeleria_Varios 16-02-2026...</v>
          </cell>
          <cell r="Y98" t="str">
            <v>Gestión</v>
          </cell>
          <cell r="Z98" t="str">
            <v>Renovacion Libreria y Papeleria</v>
          </cell>
          <cell r="AA98">
            <v>15126</v>
          </cell>
          <cell r="AB98" t="str">
            <v>Precio sin Iva</v>
          </cell>
          <cell r="AC98" t="str">
            <v>Si tiene IVA</v>
          </cell>
          <cell r="AD98">
            <v>15126</v>
          </cell>
          <cell r="AE98">
            <v>2873.94</v>
          </cell>
          <cell r="AF98">
            <v>17999.939999999999</v>
          </cell>
          <cell r="AG98">
            <v>15126</v>
          </cell>
          <cell r="AH98">
            <v>17999.939999999999</v>
          </cell>
          <cell r="AI98" t="str">
            <v>Sandra Vargas</v>
          </cell>
          <cell r="AJ98">
            <v>46070</v>
          </cell>
          <cell r="AK98" t="str">
            <v>Cartel arte y papeleria_varios</v>
          </cell>
          <cell r="AL98" t="str">
            <v>Gestión</v>
          </cell>
          <cell r="AM98" t="str">
            <v>Cartel Arte y Papeleria</v>
          </cell>
          <cell r="AN98">
            <v>22000</v>
          </cell>
          <cell r="AO98" t="str">
            <v>IVA incluido</v>
          </cell>
          <cell r="AP98" t="str">
            <v>Si tiene IVA</v>
          </cell>
          <cell r="AQ98">
            <v>18487.39495798319</v>
          </cell>
          <cell r="AR98">
            <v>3512.6050420168071</v>
          </cell>
          <cell r="AS98">
            <v>22000</v>
          </cell>
          <cell r="AT98">
            <v>22000</v>
          </cell>
          <cell r="AU98">
            <v>22000</v>
          </cell>
          <cell r="AV98">
            <v>20000</v>
          </cell>
          <cell r="AW98">
            <v>20000</v>
          </cell>
          <cell r="AX98">
            <v>2000</v>
          </cell>
          <cell r="AY98">
            <v>0.1</v>
          </cell>
          <cell r="BA98">
            <v>3</v>
          </cell>
        </row>
        <row r="99">
          <cell r="D99" t="str">
            <v>Borrador negro caja x 20</v>
          </cell>
          <cell r="E99" t="str">
            <v>Caja de borradores de nata color negro x 20 unidades. Fabricados en PVC de alta calidad, diseñados para el borrado de lápiz de grafito sin dejar manchas ni dañar la superficie del papel.  Color negro,dimensiones aproximadas de 62 x 22 x 12 mm (tamaño grande).</v>
          </cell>
          <cell r="F99" t="str">
            <v>Unidad</v>
          </cell>
          <cell r="G99">
            <v>1</v>
          </cell>
          <cell r="H99" t="str">
            <v>Compra</v>
          </cell>
          <cell r="I99" t="str">
            <v>Sandra Vargas</v>
          </cell>
          <cell r="J99">
            <v>46070</v>
          </cell>
          <cell r="K99" t="str">
            <v>Comercializadora tj_Varios</v>
          </cell>
          <cell r="L99" t="str">
            <v>Gestión</v>
          </cell>
          <cell r="M99" t="str">
            <v>Comercializadora Tj</v>
          </cell>
          <cell r="N99">
            <v>11500</v>
          </cell>
          <cell r="O99" t="str">
            <v>Precio sin Iva</v>
          </cell>
          <cell r="P99" t="str">
            <v>Si tiene IVA</v>
          </cell>
          <cell r="Q99">
            <v>11500</v>
          </cell>
          <cell r="R99">
            <v>2185</v>
          </cell>
          <cell r="S99">
            <v>13685</v>
          </cell>
          <cell r="T99">
            <v>11500</v>
          </cell>
          <cell r="U99">
            <v>13685</v>
          </cell>
          <cell r="V99" t="str">
            <v>Sandra Vargas</v>
          </cell>
          <cell r="W99">
            <v>46070</v>
          </cell>
          <cell r="X99" t="str">
            <v>Papelería gran central_varios 06-02-2026</v>
          </cell>
          <cell r="Y99" t="str">
            <v>Gestión</v>
          </cell>
          <cell r="Z99" t="str">
            <v>Papeleria Gran Central</v>
          </cell>
          <cell r="AA99">
            <v>18000</v>
          </cell>
          <cell r="AB99" t="str">
            <v>IVA incluido</v>
          </cell>
          <cell r="AC99" t="str">
            <v>Si tiene IVA</v>
          </cell>
          <cell r="AD99">
            <v>15126.050420168071</v>
          </cell>
          <cell r="AE99">
            <v>2873.9495798319331</v>
          </cell>
          <cell r="AF99">
            <v>18000</v>
          </cell>
          <cell r="AG99">
            <v>18000</v>
          </cell>
          <cell r="AH99">
            <v>18000</v>
          </cell>
          <cell r="AI99" t="str">
            <v>Sandra Vargas</v>
          </cell>
          <cell r="AJ99">
            <v>46070</v>
          </cell>
          <cell r="AK99" t="str">
            <v>Tienda estudiantil_Varios</v>
          </cell>
          <cell r="AL99" t="str">
            <v>Gestión</v>
          </cell>
          <cell r="AM99" t="str">
            <v>Tienda Estudiantil</v>
          </cell>
          <cell r="AN99">
            <v>13940</v>
          </cell>
          <cell r="AO99" t="str">
            <v>Precio sin Iva</v>
          </cell>
          <cell r="AP99" t="str">
            <v>Si tiene IVA</v>
          </cell>
          <cell r="AQ99">
            <v>13940</v>
          </cell>
          <cell r="AR99">
            <v>2648.6</v>
          </cell>
          <cell r="AS99">
            <v>16588.599999999999</v>
          </cell>
          <cell r="AT99">
            <v>13940</v>
          </cell>
          <cell r="AU99">
            <v>16588.599999999999</v>
          </cell>
          <cell r="AV99">
            <v>16091</v>
          </cell>
          <cell r="AW99">
            <v>16091</v>
          </cell>
          <cell r="AX99">
            <v>2200</v>
          </cell>
          <cell r="AY99">
            <v>0.13672239139891901</v>
          </cell>
          <cell r="BA99">
            <v>3</v>
          </cell>
        </row>
        <row r="100">
          <cell r="D100" t="str">
            <v>Borrador Tablero</v>
          </cell>
          <cell r="E100" t="str">
            <v>Borrador de tablero de material del cuerpo:
Plástico, espuma rígida o madera ligera
Material de limpieza (base): Fieltro sintético o microfibra, Superficie suave para no rayar el tablero, Tamaño promedio: 10-15cm</v>
          </cell>
          <cell r="F100" t="str">
            <v>Unidad</v>
          </cell>
          <cell r="G100">
            <v>1</v>
          </cell>
          <cell r="H100" t="str">
            <v>Compra</v>
          </cell>
          <cell r="I100" t="str">
            <v>Sandra Vargas</v>
          </cell>
          <cell r="J100">
            <v>46070</v>
          </cell>
          <cell r="K100" t="str">
            <v>Panfargo_Borrador para tablero Acrilico</v>
          </cell>
          <cell r="L100" t="str">
            <v>Gestión</v>
          </cell>
          <cell r="M100" t="str">
            <v xml:space="preserve">Panafargo </v>
          </cell>
          <cell r="N100">
            <v>1900</v>
          </cell>
          <cell r="O100" t="str">
            <v>IVA incluido</v>
          </cell>
          <cell r="P100" t="str">
            <v>Si tiene IVA</v>
          </cell>
          <cell r="Q100">
            <v>1596.6386554621849</v>
          </cell>
          <cell r="R100">
            <v>303.36134453781523</v>
          </cell>
          <cell r="S100">
            <v>1900</v>
          </cell>
          <cell r="T100">
            <v>1900</v>
          </cell>
          <cell r="U100">
            <v>1900</v>
          </cell>
          <cell r="V100" t="str">
            <v>Sandra Vargas</v>
          </cell>
          <cell r="W100">
            <v>46070</v>
          </cell>
          <cell r="X100" t="str">
            <v>Tienda estudiantil_Varios</v>
          </cell>
          <cell r="Y100" t="str">
            <v>Gestión</v>
          </cell>
          <cell r="Z100" t="str">
            <v>Tienda Estudiantil</v>
          </cell>
          <cell r="AA100">
            <v>1633</v>
          </cell>
          <cell r="AB100" t="str">
            <v>Precio sin Iva</v>
          </cell>
          <cell r="AC100" t="str">
            <v>Si tiene IVA</v>
          </cell>
          <cell r="AD100">
            <v>1633</v>
          </cell>
          <cell r="AE100">
            <v>310.27</v>
          </cell>
          <cell r="AF100">
            <v>1943.27</v>
          </cell>
          <cell r="AG100">
            <v>1633</v>
          </cell>
          <cell r="AH100">
            <v>1943.27</v>
          </cell>
          <cell r="AI100" t="str">
            <v>Sandra Vargas</v>
          </cell>
          <cell r="AJ100">
            <v>46070</v>
          </cell>
          <cell r="AK100" t="str">
            <v>Papelería gran central_varios 06-02-2026</v>
          </cell>
          <cell r="AL100" t="str">
            <v>Gestión</v>
          </cell>
          <cell r="AM100" t="str">
            <v>Papeleria Gran central</v>
          </cell>
          <cell r="AN100">
            <v>1900</v>
          </cell>
          <cell r="AO100" t="str">
            <v>IVA incluido</v>
          </cell>
          <cell r="AP100" t="str">
            <v>Si tiene IVA</v>
          </cell>
          <cell r="AQ100">
            <v>1596.6386554621849</v>
          </cell>
          <cell r="AR100">
            <v>303.36134453781523</v>
          </cell>
          <cell r="AS100">
            <v>1900</v>
          </cell>
          <cell r="AT100">
            <v>1900</v>
          </cell>
          <cell r="AU100">
            <v>1900</v>
          </cell>
          <cell r="AV100">
            <v>1914</v>
          </cell>
          <cell r="AW100">
            <v>1914</v>
          </cell>
          <cell r="AX100">
            <v>25</v>
          </cell>
          <cell r="AY100">
            <v>1.3061650992685501E-2</v>
          </cell>
          <cell r="BA100">
            <v>3</v>
          </cell>
        </row>
        <row r="101">
          <cell r="D101" t="str">
            <v>Botella Aluminio 750 ml</v>
          </cell>
          <cell r="E101" t="str">
            <v>Botella en Aluminio Action 750ml / 25 Oz Tapa rosca con pitillo, libre de BPA, No retiene ni transmite sabores. Pintura exterior atóxica. • MATERIAL: Aluminio con tapa PP. • MEDIDAS: 24 x 7 cm. de diámetro</v>
          </cell>
          <cell r="F101" t="str">
            <v>Unidad</v>
          </cell>
          <cell r="G101">
            <v>1</v>
          </cell>
          <cell r="H101" t="str">
            <v>Compra</v>
          </cell>
          <cell r="I101" t="str">
            <v>Luz Jimenez</v>
          </cell>
          <cell r="J101">
            <v>46086</v>
          </cell>
          <cell r="K101" t="str">
            <v>Regalos Corporativos- Botella en Aluminio Action 750 ml _ 25 Oz</v>
          </cell>
          <cell r="L101" t="str">
            <v>Gestión</v>
          </cell>
          <cell r="M101" t="str">
            <v>Regalos Corporativo</v>
          </cell>
          <cell r="N101">
            <v>23000</v>
          </cell>
          <cell r="O101" t="str">
            <v>IVA incluido</v>
          </cell>
          <cell r="P101" t="str">
            <v>Si tiene IVA</v>
          </cell>
          <cell r="Q101">
            <v>19327.73109243697</v>
          </cell>
          <cell r="R101">
            <v>3672.2689075630251</v>
          </cell>
          <cell r="S101">
            <v>23000</v>
          </cell>
          <cell r="T101">
            <v>23000</v>
          </cell>
          <cell r="U101">
            <v>23000</v>
          </cell>
          <cell r="V101" t="str">
            <v>Luz Jimenez</v>
          </cell>
          <cell r="W101">
            <v>46152</v>
          </cell>
          <cell r="X101" t="str">
            <v>Publicitar- BOTELLA EN ALUMINIO ACTION 750 ML 25 OZ.pdf</v>
          </cell>
          <cell r="Y101" t="str">
            <v>Transcripción</v>
          </cell>
          <cell r="Z101" t="str">
            <v>Publicitar</v>
          </cell>
          <cell r="AA101">
            <v>19099</v>
          </cell>
          <cell r="AB101" t="str">
            <v>Precio sin Iva</v>
          </cell>
          <cell r="AC101" t="str">
            <v>Si tiene IVA</v>
          </cell>
          <cell r="AD101">
            <v>19099</v>
          </cell>
          <cell r="AE101">
            <v>3628.81</v>
          </cell>
          <cell r="AF101">
            <v>22727.81</v>
          </cell>
          <cell r="AG101">
            <v>19099</v>
          </cell>
          <cell r="AH101">
            <v>22727.81</v>
          </cell>
          <cell r="AI101" t="str">
            <v>Luz Jimenez</v>
          </cell>
          <cell r="AJ101">
            <v>46086</v>
          </cell>
          <cell r="AK101" t="str">
            <v>Promall_Botella en Aluminio Action 750ml.pdf</v>
          </cell>
          <cell r="AL101" t="str">
            <v>Gestión</v>
          </cell>
          <cell r="AM101" t="str">
            <v>Promal</v>
          </cell>
          <cell r="AN101">
            <v>23600</v>
          </cell>
          <cell r="AO101" t="str">
            <v>Precio sin Iva</v>
          </cell>
          <cell r="AP101" t="str">
            <v>Si tiene IVA</v>
          </cell>
          <cell r="AQ101">
            <v>23600</v>
          </cell>
          <cell r="AR101">
            <v>4484</v>
          </cell>
          <cell r="AS101">
            <v>28084</v>
          </cell>
          <cell r="AT101">
            <v>23600</v>
          </cell>
          <cell r="AU101">
            <v>28084</v>
          </cell>
          <cell r="AV101">
            <v>24604</v>
          </cell>
          <cell r="AW101">
            <v>24604</v>
          </cell>
          <cell r="AX101">
            <v>3017</v>
          </cell>
          <cell r="AY101">
            <v>0.122622337831247</v>
          </cell>
          <cell r="BA101">
            <v>3</v>
          </cell>
        </row>
        <row r="102">
          <cell r="D102" t="str">
            <v>Botella Aluminio 750 ml con logos</v>
          </cell>
          <cell r="E102" t="str">
            <v xml:space="preserve">Botella en Aluminio Action 750ml / 25 Oz Tapa rosca con pitillo, libre de BPA, No retiene ni transmite sabores. Pintura exterior atóxica. • MATERIAL: Aluminio con tapa PP. • MEDIDAS: 24 x 7 cm. de diámetro
ÁREA MARCACIÓN APROX: 4 cm. • MARCA: Laser 2 marcas </v>
          </cell>
          <cell r="F102" t="str">
            <v>Unidad</v>
          </cell>
          <cell r="G102">
            <v>180</v>
          </cell>
          <cell r="H102" t="str">
            <v>Compra</v>
          </cell>
          <cell r="I102" t="str">
            <v>Luz Jimenez</v>
          </cell>
          <cell r="J102">
            <v>46152</v>
          </cell>
          <cell r="K102" t="str">
            <v>Botella en Aluminio Action 750 ml _ 25 Oz – Regalos Corporativos.pdf</v>
          </cell>
          <cell r="L102" t="str">
            <v>Gestión</v>
          </cell>
          <cell r="M102" t="str">
            <v>Regalos Corpotaivos</v>
          </cell>
          <cell r="N102">
            <v>23000</v>
          </cell>
          <cell r="O102" t="str">
            <v>IVA incluido</v>
          </cell>
          <cell r="P102" t="str">
            <v>Si tiene IVA</v>
          </cell>
          <cell r="Q102">
            <v>19327.73109243697</v>
          </cell>
          <cell r="R102">
            <v>3672.2689075630251</v>
          </cell>
          <cell r="S102">
            <v>23000</v>
          </cell>
          <cell r="T102">
            <v>4140000</v>
          </cell>
          <cell r="U102">
            <v>4140000</v>
          </cell>
          <cell r="V102" t="str">
            <v>Carol López</v>
          </cell>
          <cell r="W102">
            <v>46107</v>
          </cell>
          <cell r="X102" t="str">
            <v>BOTILITO EN ALUMINIO PARA SUBLIMACION PARSONS 750 ML.pdf</v>
          </cell>
          <cell r="Y102" t="str">
            <v>Gestión</v>
          </cell>
          <cell r="Z102" t="str">
            <v>Publicitar</v>
          </cell>
          <cell r="AA102">
            <v>21507</v>
          </cell>
          <cell r="AB102" t="str">
            <v>Precio sin Iva</v>
          </cell>
          <cell r="AC102" t="str">
            <v>Si tiene IVA</v>
          </cell>
          <cell r="AD102">
            <v>21507</v>
          </cell>
          <cell r="AE102">
            <v>4086.33</v>
          </cell>
          <cell r="AF102">
            <v>25593.33</v>
          </cell>
          <cell r="AG102">
            <v>3871260</v>
          </cell>
          <cell r="AH102">
            <v>4606799.4000000004</v>
          </cell>
          <cell r="AI102" t="str">
            <v>Luz Jimenez</v>
          </cell>
          <cell r="AJ102">
            <v>46152</v>
          </cell>
          <cell r="AK102" t="str">
            <v>Botella en aluminio tower - Markados Tienda de Promocionales online Colombia.pdf</v>
          </cell>
          <cell r="AL102" t="str">
            <v>Gestión</v>
          </cell>
          <cell r="AM102" t="str">
            <v>Marcados tienda promocionales</v>
          </cell>
          <cell r="AN102">
            <v>22682</v>
          </cell>
          <cell r="AO102" t="str">
            <v>Precio sin Iva</v>
          </cell>
          <cell r="AP102" t="str">
            <v>Si tiene IVA</v>
          </cell>
          <cell r="AQ102">
            <v>22682</v>
          </cell>
          <cell r="AR102">
            <v>4309.58</v>
          </cell>
          <cell r="AS102">
            <v>26991.58</v>
          </cell>
          <cell r="AT102">
            <v>4082760</v>
          </cell>
          <cell r="AU102">
            <v>4858484.4000000004</v>
          </cell>
          <cell r="AV102">
            <v>25195</v>
          </cell>
          <cell r="AW102">
            <v>4535100</v>
          </cell>
          <cell r="AX102">
            <v>364570</v>
          </cell>
          <cell r="AY102">
            <v>8.0388525060086896E-2</v>
          </cell>
          <cell r="BA102">
            <v>3</v>
          </cell>
        </row>
        <row r="103">
          <cell r="D103" t="str">
            <v>Botellón de agua con soporte</v>
          </cell>
          <cell r="E103" t="str">
            <v>20 Litros</v>
          </cell>
          <cell r="F103" t="str">
            <v>Unidad</v>
          </cell>
          <cell r="G103">
            <v>1</v>
          </cell>
          <cell r="H103" t="str">
            <v>Compra</v>
          </cell>
          <cell r="I103" t="str">
            <v>Luz Jimenez</v>
          </cell>
          <cell r="J103">
            <v>46153</v>
          </cell>
          <cell r="K103" t="str">
            <v>Tiendas Jumbo_Agua Cristal botellón 20L.pdf</v>
          </cell>
          <cell r="L103" t="str">
            <v>Gestión</v>
          </cell>
          <cell r="M103" t="str">
            <v>Tiendas Jumbo</v>
          </cell>
          <cell r="N103">
            <v>14290</v>
          </cell>
          <cell r="O103" t="str">
            <v>Precio sin Iva</v>
          </cell>
          <cell r="P103" t="str">
            <v>No tiene IVA</v>
          </cell>
          <cell r="Q103">
            <v>14290</v>
          </cell>
          <cell r="R103">
            <v>0</v>
          </cell>
          <cell r="S103">
            <v>14290</v>
          </cell>
          <cell r="T103">
            <v>14290</v>
          </cell>
          <cell r="U103">
            <v>14290</v>
          </cell>
          <cell r="V103" t="str">
            <v>Luz Jimenez</v>
          </cell>
          <cell r="W103">
            <v>46153</v>
          </cell>
          <cell r="X103" t="str">
            <v>Megaaredil_Agua Cristal Botellon</v>
          </cell>
          <cell r="Y103" t="str">
            <v>Gestión</v>
          </cell>
          <cell r="Z103" t="str">
            <v>Megaredi</v>
          </cell>
          <cell r="AA103">
            <v>17250</v>
          </cell>
          <cell r="AB103" t="str">
            <v>Precio sin Iva</v>
          </cell>
          <cell r="AC103" t="str">
            <v>No tiene IVA</v>
          </cell>
          <cell r="AD103">
            <v>17250</v>
          </cell>
          <cell r="AE103">
            <v>0</v>
          </cell>
          <cell r="AF103">
            <v>17250</v>
          </cell>
          <cell r="AG103">
            <v>17250</v>
          </cell>
          <cell r="AH103">
            <v>17250</v>
          </cell>
          <cell r="AI103" t="str">
            <v>Luz Jimenez</v>
          </cell>
          <cell r="AJ103">
            <v>46086</v>
          </cell>
          <cell r="AK103" t="str">
            <v>Tiendas Jumbo_Agua Cristal botellón 20L.pdf</v>
          </cell>
          <cell r="AL103" t="str">
            <v>Gestión</v>
          </cell>
          <cell r="AM103" t="str">
            <v>Tiendas Jumbo</v>
          </cell>
          <cell r="AN103">
            <v>14290</v>
          </cell>
          <cell r="AO103" t="str">
            <v>Precio sin Iva</v>
          </cell>
          <cell r="AP103" t="str">
            <v>No tiene IVA</v>
          </cell>
          <cell r="AQ103">
            <v>14290</v>
          </cell>
          <cell r="AR103">
            <v>0</v>
          </cell>
          <cell r="AS103">
            <v>14290</v>
          </cell>
          <cell r="AT103">
            <v>14290</v>
          </cell>
          <cell r="AU103">
            <v>14290</v>
          </cell>
          <cell r="AV103">
            <v>15277</v>
          </cell>
          <cell r="AW103">
            <v>15277</v>
          </cell>
          <cell r="AX103">
            <v>1709</v>
          </cell>
          <cell r="AY103">
            <v>0.11186751325522</v>
          </cell>
          <cell r="BA103">
            <v>3</v>
          </cell>
          <cell r="BB103" t="str">
            <v>Primer ítem sin IVA  // Segundo ítem sin IVA // Tercer ítem sin IVA</v>
          </cell>
        </row>
        <row r="104">
          <cell r="D104" t="str">
            <v>Botón publicitario</v>
          </cell>
          <cell r="E104" t="str">
            <v>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v>
          </cell>
          <cell r="F104" t="str">
            <v>Unidad</v>
          </cell>
          <cell r="G104">
            <v>1</v>
          </cell>
          <cell r="H104" t="str">
            <v>Compra</v>
          </cell>
          <cell r="I104" t="str">
            <v>Carol López</v>
          </cell>
          <cell r="J104">
            <v>46070</v>
          </cell>
          <cell r="K104" t="str">
            <v>Nexus_varios 16-02-2026</v>
          </cell>
          <cell r="L104" t="str">
            <v>Gestión</v>
          </cell>
          <cell r="M104" t="str">
            <v>NEXUS ESTUDIO GRÁFICOS</v>
          </cell>
          <cell r="N104">
            <v>2500</v>
          </cell>
          <cell r="O104" t="str">
            <v>Precio sin Iva</v>
          </cell>
          <cell r="P104" t="str">
            <v>Si tiene IVA</v>
          </cell>
          <cell r="Q104">
            <v>2500</v>
          </cell>
          <cell r="R104">
            <v>475</v>
          </cell>
          <cell r="S104">
            <v>2975</v>
          </cell>
          <cell r="T104">
            <v>2500</v>
          </cell>
          <cell r="U104">
            <v>2975</v>
          </cell>
          <cell r="V104" t="str">
            <v>Carol López</v>
          </cell>
          <cell r="W104">
            <v>46070</v>
          </cell>
          <cell r="X104" t="str">
            <v>Inventiva_varios 17-02-2026.pdf</v>
          </cell>
          <cell r="Y104" t="str">
            <v>Gestión</v>
          </cell>
          <cell r="Z104" t="str">
            <v>INVENTIVA</v>
          </cell>
          <cell r="AA104">
            <v>2500</v>
          </cell>
          <cell r="AB104" t="str">
            <v>Precio sin Iva</v>
          </cell>
          <cell r="AC104" t="str">
            <v>Si tiene IVA</v>
          </cell>
          <cell r="AD104">
            <v>2500</v>
          </cell>
          <cell r="AE104">
            <v>475</v>
          </cell>
          <cell r="AF104">
            <v>2975</v>
          </cell>
          <cell r="AG104">
            <v>2500</v>
          </cell>
          <cell r="AH104">
            <v>2975</v>
          </cell>
          <cell r="AI104" t="str">
            <v>Carol López</v>
          </cell>
          <cell r="AJ104">
            <v>46071</v>
          </cell>
          <cell r="AK104" t="str">
            <v>SGD_ VARIOS 19-02-2026 SAS</v>
          </cell>
          <cell r="AL104" t="str">
            <v>Gestión</v>
          </cell>
          <cell r="AM104" t="str">
            <v>SG DIGITAL S.A.S</v>
          </cell>
          <cell r="AN104">
            <v>2700</v>
          </cell>
          <cell r="AO104" t="str">
            <v>Precio sin Iva</v>
          </cell>
          <cell r="AP104" t="str">
            <v>No tiene IVA</v>
          </cell>
          <cell r="AQ104">
            <v>2700</v>
          </cell>
          <cell r="AR104">
            <v>0</v>
          </cell>
          <cell r="AS104">
            <v>2700</v>
          </cell>
          <cell r="AT104">
            <v>2700</v>
          </cell>
          <cell r="AU104">
            <v>2700</v>
          </cell>
          <cell r="AV104">
            <v>2883</v>
          </cell>
          <cell r="AW104">
            <v>2883</v>
          </cell>
          <cell r="AX104">
            <v>159</v>
          </cell>
          <cell r="AY104">
            <v>5.5150884495317402E-2</v>
          </cell>
          <cell r="BA104">
            <v>3</v>
          </cell>
          <cell r="BB104" t="str">
            <v>Tercer ítem sin IVA</v>
          </cell>
        </row>
        <row r="105">
          <cell r="D105" t="str">
            <v>Brigada de aseo 4 personas con insumos</v>
          </cell>
          <cell r="E105" t="str">
            <v>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v>
          </cell>
          <cell r="F105" t="str">
            <v>SERVICIO</v>
          </cell>
          <cell r="G105">
            <v>1</v>
          </cell>
          <cell r="Q105" t="str">
            <v> </v>
          </cell>
          <cell r="R105" t="str">
            <v> </v>
          </cell>
          <cell r="S105" t="str">
            <v> </v>
          </cell>
          <cell r="T105" t="str">
            <v> </v>
          </cell>
          <cell r="U105" t="str">
            <v> </v>
          </cell>
          <cell r="V105" t="str">
            <v>OPERADOR LOGÍSTICO</v>
          </cell>
          <cell r="W105" t="str">
            <v>OPERADOR LOGÍSTICO</v>
          </cell>
          <cell r="X105" t="str">
            <v>OPERADOR LOGÍSTICO</v>
          </cell>
          <cell r="Y105" t="str">
            <v>OPERADOR LOGÍSTICO</v>
          </cell>
          <cell r="Z105" t="str">
            <v>Estimación de precios con base en el proceso FDLSUBA-LP-013-2025 (140689) – Contrato 1000 – 2025, indexando el incremento de precios en el mercado con base en el Índice de Precios al Consumidor (IPC) para el mes de marzo de 2026, el cual fue de 5,56%.</v>
          </cell>
          <cell r="AA105" t="str">
            <v>OPERADOR LOGÍSTICO</v>
          </cell>
          <cell r="AB105" t="str">
            <v>OPERADOR LOGÍSTICO</v>
          </cell>
          <cell r="AC105" t="str">
            <v>OPERADOR LOGÍSTICO</v>
          </cell>
          <cell r="AD105" t="str">
            <v>OPERADOR LOGÍSTICO</v>
          </cell>
          <cell r="AE105" t="str">
            <v>OPERADOR LOGÍSTICO</v>
          </cell>
          <cell r="AF105">
            <v>499971.42857142852</v>
          </cell>
          <cell r="AG105">
            <v>94994.571428571435</v>
          </cell>
          <cell r="AH105">
            <v>594966</v>
          </cell>
          <cell r="AI105" t="str">
            <v>OPERADOR LOGÍSTICO</v>
          </cell>
          <cell r="AJ105" t="str">
            <v>OPERADOR LOGÍSTICO</v>
          </cell>
          <cell r="AK105" t="str">
            <v>OPERADOR LOGÍSTICO</v>
          </cell>
          <cell r="AL105" t="str">
            <v>OPERADOR LOGÍSTICO</v>
          </cell>
          <cell r="AM105" t="str">
            <v>FUNCAS</v>
          </cell>
          <cell r="AN105" t="str">
            <v>OPERADOR LOGÍSTICO</v>
          </cell>
          <cell r="AO105" t="str">
            <v>OPERADOR LOGÍSTICO</v>
          </cell>
          <cell r="AP105" t="str">
            <v>OPERADOR LOGÍSTICO</v>
          </cell>
          <cell r="AQ105">
            <v>485478</v>
          </cell>
          <cell r="AR105">
            <v>92241</v>
          </cell>
          <cell r="AS105">
            <v>577719</v>
          </cell>
          <cell r="AT105">
            <v>485478</v>
          </cell>
          <cell r="AU105">
            <v>577719</v>
          </cell>
          <cell r="AV105">
            <v>538845</v>
          </cell>
          <cell r="AW105">
            <v>538845</v>
          </cell>
          <cell r="AX105" t="str">
            <v/>
          </cell>
          <cell r="AY105">
            <v>2.0799999999999999E-2</v>
          </cell>
        </row>
        <row r="106">
          <cell r="D106" t="str">
            <v>Brigadista</v>
          </cell>
          <cell r="E106" t="str">
            <v>BRIGADISTA CON SU EQUIPO QUE INCLUYA ELEMENTOS NECESARIOS PARA PREVENCIÓN Y ATENCIÓN DE INCENDIOS.
(JORNADA ENTRE 5 Y HASTA 10 HORAS DÍA).</v>
          </cell>
          <cell r="F106" t="str">
            <v>SERVICIO</v>
          </cell>
          <cell r="G106">
            <v>1</v>
          </cell>
          <cell r="Q106" t="str">
            <v> </v>
          </cell>
          <cell r="R106" t="str">
            <v> </v>
          </cell>
          <cell r="S106" t="str">
            <v> </v>
          </cell>
          <cell r="T106" t="str">
            <v> </v>
          </cell>
          <cell r="U106" t="str">
            <v> </v>
          </cell>
          <cell r="V106" t="str">
            <v>OPERADOR LOGÍSTICO</v>
          </cell>
          <cell r="W106" t="str">
            <v>OPERADOR LOGÍSTICO</v>
          </cell>
          <cell r="X106" t="str">
            <v>OPERADOR LOGÍSTICO</v>
          </cell>
          <cell r="Y106" t="str">
            <v>OPERADOR LOGÍSTICO</v>
          </cell>
          <cell r="Z106" t="str">
            <v>Estimación de precios con base en el proceso FDLSUBA-LP-013-2025 (140689) – Contrato 1000 – 2025, indexando el incremento de precios en el mercado con base en el Índice de Precios al Consumidor (IPC) para el mes de marzo de 2026, el cual fue de 5,56%.</v>
          </cell>
          <cell r="AA106" t="str">
            <v>OPERADOR LOGÍSTICO</v>
          </cell>
          <cell r="AB106" t="str">
            <v>OPERADOR LOGÍSTICO</v>
          </cell>
          <cell r="AC106" t="str">
            <v>OPERADOR LOGÍSTICO</v>
          </cell>
          <cell r="AD106" t="str">
            <v>OPERADOR LOGÍSTICO</v>
          </cell>
          <cell r="AE106" t="str">
            <v>OPERADOR LOGÍSTICO</v>
          </cell>
          <cell r="AF106">
            <v>338202.52100840339</v>
          </cell>
          <cell r="AG106">
            <v>64258.478991596647</v>
          </cell>
          <cell r="AH106">
            <v>402461</v>
          </cell>
          <cell r="AI106" t="str">
            <v>OPERADOR LOGÍSTICO</v>
          </cell>
          <cell r="AJ106" t="str">
            <v>OPERADOR LOGÍSTICO</v>
          </cell>
          <cell r="AK106" t="str">
            <v>OPERADOR LOGÍSTICO</v>
          </cell>
          <cell r="AL106" t="str">
            <v>OPERADOR LOGÍSTICO</v>
          </cell>
          <cell r="AM106" t="str">
            <v>FUNCAS</v>
          </cell>
          <cell r="AN106" t="str">
            <v>OPERADOR LOGÍSTICO</v>
          </cell>
          <cell r="AO106" t="str">
            <v>OPERADOR LOGÍSTICO</v>
          </cell>
          <cell r="AP106" t="str">
            <v>OPERADOR LOGÍSTICO</v>
          </cell>
          <cell r="AQ106">
            <v>326796</v>
          </cell>
          <cell r="AR106">
            <v>62091</v>
          </cell>
          <cell r="AS106">
            <v>388888</v>
          </cell>
          <cell r="AT106">
            <v>326796</v>
          </cell>
          <cell r="AU106">
            <v>388888</v>
          </cell>
          <cell r="AV106">
            <v>363545</v>
          </cell>
          <cell r="AW106">
            <v>363545</v>
          </cell>
          <cell r="AX106" t="str">
            <v/>
          </cell>
          <cell r="AY106">
            <v>2.4299999999999999E-2</v>
          </cell>
        </row>
        <row r="107">
          <cell r="D107" t="str">
            <v>Camiseta</v>
          </cell>
          <cell r="E107" t="str">
            <v>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v>
          </cell>
          <cell r="F107" t="str">
            <v>Unidad</v>
          </cell>
          <cell r="G107">
            <v>1</v>
          </cell>
          <cell r="H107" t="str">
            <v>Compra</v>
          </cell>
          <cell r="I107" t="str">
            <v>Carol López</v>
          </cell>
          <cell r="J107">
            <v>46070</v>
          </cell>
          <cell r="K107" t="str">
            <v>Dicoes _ varios 12-02-2026</v>
          </cell>
          <cell r="L107" t="str">
            <v>Gestión</v>
          </cell>
          <cell r="M107" t="str">
            <v>DICOES GRUPÓ PUBLICITARIO SAS</v>
          </cell>
          <cell r="N107">
            <v>38000</v>
          </cell>
          <cell r="O107" t="str">
            <v>Precio sin Iva</v>
          </cell>
          <cell r="P107" t="str">
            <v>Si tiene IVA</v>
          </cell>
          <cell r="Q107">
            <v>38000</v>
          </cell>
          <cell r="R107">
            <v>7220</v>
          </cell>
          <cell r="S107">
            <v>45220</v>
          </cell>
          <cell r="T107">
            <v>38000</v>
          </cell>
          <cell r="U107">
            <v>45220</v>
          </cell>
          <cell r="V107" t="str">
            <v>Carol López</v>
          </cell>
          <cell r="W107">
            <v>46070</v>
          </cell>
          <cell r="X107" t="str">
            <v>Nexus_varios 16-02-2026</v>
          </cell>
          <cell r="Y107" t="str">
            <v>Gestión</v>
          </cell>
          <cell r="Z107" t="str">
            <v>NEXUS ESTUDIO GRÁFICOS</v>
          </cell>
          <cell r="AA107">
            <v>38000</v>
          </cell>
          <cell r="AB107" t="str">
            <v>Precio sin Iva</v>
          </cell>
          <cell r="AC107" t="str">
            <v>Si tiene IVA</v>
          </cell>
          <cell r="AD107">
            <v>38000</v>
          </cell>
          <cell r="AE107">
            <v>7220</v>
          </cell>
          <cell r="AF107">
            <v>45220</v>
          </cell>
          <cell r="AG107">
            <v>38000</v>
          </cell>
          <cell r="AH107">
            <v>45220</v>
          </cell>
          <cell r="AI107" t="str">
            <v>Carol López</v>
          </cell>
          <cell r="AJ107">
            <v>46071</v>
          </cell>
          <cell r="AK107" t="str">
            <v>ANGIE PACHÓN _VARIOS 19-02-2026.pdf</v>
          </cell>
          <cell r="AL107" t="str">
            <v>Gestión</v>
          </cell>
          <cell r="AM107" t="str">
            <v>angie Pachon (personalizado INK)</v>
          </cell>
          <cell r="AN107">
            <v>38000</v>
          </cell>
          <cell r="AO107" t="str">
            <v>Precio sin Iva</v>
          </cell>
          <cell r="AP107" t="str">
            <v>No tiene IVA</v>
          </cell>
          <cell r="AQ107">
            <v>38000</v>
          </cell>
          <cell r="AR107">
            <v>0</v>
          </cell>
          <cell r="AS107">
            <v>38000</v>
          </cell>
          <cell r="AT107">
            <v>38000</v>
          </cell>
          <cell r="AU107">
            <v>38000</v>
          </cell>
          <cell r="AV107">
            <v>42813</v>
          </cell>
          <cell r="AW107">
            <v>42813</v>
          </cell>
          <cell r="AX107">
            <v>4168</v>
          </cell>
          <cell r="AY107">
            <v>9.7353607549108906E-2</v>
          </cell>
          <cell r="BA107">
            <v>3</v>
          </cell>
          <cell r="BB107" t="str">
            <v>Tercer ítem sin IVA</v>
          </cell>
        </row>
        <row r="108">
          <cell r="D108" t="str">
            <v>Camiseta t-shirt o Camiseta blanca</v>
          </cell>
          <cell r="E108" t="str">
            <v>100% en algodón de 185 gr. cuello redondo y/o en v, de diferentes tallas, marcadas en screen 4 tintas. fabricación y materiales nacionales</v>
          </cell>
          <cell r="F108" t="str">
            <v>Unidad</v>
          </cell>
          <cell r="G108">
            <v>1</v>
          </cell>
          <cell r="H108" t="str">
            <v>Compra</v>
          </cell>
          <cell r="I108" t="str">
            <v>Carol López</v>
          </cell>
          <cell r="J108">
            <v>46072</v>
          </cell>
          <cell r="K108" t="str">
            <v>Maria Conflicto -Vario 19-02-2026.pdf</v>
          </cell>
          <cell r="L108" t="str">
            <v>Gestión</v>
          </cell>
          <cell r="M108" t="str">
            <v>MARIA CONFLICTO</v>
          </cell>
          <cell r="N108">
            <v>22000</v>
          </cell>
          <cell r="O108" t="str">
            <v>Precio sin Iva</v>
          </cell>
          <cell r="P108" t="str">
            <v>No tiene IVA</v>
          </cell>
          <cell r="Q108">
            <v>22000</v>
          </cell>
          <cell r="R108">
            <v>0</v>
          </cell>
          <cell r="S108">
            <v>22000</v>
          </cell>
          <cell r="T108">
            <v>22000</v>
          </cell>
          <cell r="U108">
            <v>22000</v>
          </cell>
          <cell r="V108" t="str">
            <v>Carol López</v>
          </cell>
          <cell r="W108">
            <v>46072</v>
          </cell>
          <cell r="X108" t="str">
            <v>ANGIE PACHÓN _VARIOS 19-02-2026.pdf</v>
          </cell>
          <cell r="Y108" t="str">
            <v>Gestión</v>
          </cell>
          <cell r="Z108" t="str">
            <v>Angie Pachon (personalizado INK)</v>
          </cell>
          <cell r="AA108">
            <v>28000</v>
          </cell>
          <cell r="AB108" t="str">
            <v>Precio sin Iva</v>
          </cell>
          <cell r="AD108">
            <v>28000</v>
          </cell>
          <cell r="AE108">
            <v>0</v>
          </cell>
          <cell r="AF108">
            <v>28000</v>
          </cell>
          <cell r="AG108">
            <v>28000</v>
          </cell>
          <cell r="AH108">
            <v>28000</v>
          </cell>
          <cell r="AI108" t="str">
            <v>Carol López</v>
          </cell>
          <cell r="AJ108">
            <v>46072</v>
          </cell>
          <cell r="AK108" t="str">
            <v>Inventiva_varios 17-02-2026.pdf</v>
          </cell>
          <cell r="AL108" t="str">
            <v>Gestión</v>
          </cell>
          <cell r="AM108" t="str">
            <v>INVENTIVA</v>
          </cell>
          <cell r="AN108">
            <v>25000</v>
          </cell>
          <cell r="AO108" t="str">
            <v>Precio sin Iva</v>
          </cell>
          <cell r="AP108" t="str">
            <v>Si tiene IVA</v>
          </cell>
          <cell r="AQ108">
            <v>25000</v>
          </cell>
          <cell r="AR108">
            <v>4750</v>
          </cell>
          <cell r="AS108">
            <v>29750</v>
          </cell>
          <cell r="AT108">
            <v>25000</v>
          </cell>
          <cell r="AU108">
            <v>29750</v>
          </cell>
          <cell r="AV108">
            <v>26583</v>
          </cell>
          <cell r="AW108">
            <v>26583</v>
          </cell>
          <cell r="AX108">
            <v>4065</v>
          </cell>
          <cell r="AY108">
            <v>0.152917277959598</v>
          </cell>
          <cell r="BA108">
            <v>3</v>
          </cell>
          <cell r="BB108" t="str">
            <v>Primer ítem sin IVA  // Segundo ítem sin IVA</v>
          </cell>
        </row>
        <row r="109">
          <cell r="D109" t="str">
            <v>Carpa  Hangar 12x30</v>
          </cell>
          <cell r="E109" t="str">
            <v>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v>
          </cell>
          <cell r="F109" t="str">
            <v>SERVICIO</v>
          </cell>
          <cell r="G109">
            <v>1</v>
          </cell>
          <cell r="I109" t="str">
            <v>OPERADOR LOGÍSTICO</v>
          </cell>
          <cell r="J109" t="str">
            <v>OPERADOR LOGÍSTICO</v>
          </cell>
          <cell r="K109" t="str">
            <v>OPERADOR LOGÍSTICO</v>
          </cell>
          <cell r="L109" t="str">
            <v>OPERADOR LOGÍSTICO</v>
          </cell>
          <cell r="M109" t="str">
            <v>OPERADOR LOGÍSTICO</v>
          </cell>
          <cell r="Q109">
            <v>5000000</v>
          </cell>
          <cell r="R109">
            <v>950000</v>
          </cell>
          <cell r="S109">
            <v>5950000</v>
          </cell>
          <cell r="T109">
            <v>5000000</v>
          </cell>
          <cell r="U109">
            <v>5950000</v>
          </cell>
          <cell r="V109" t="str">
            <v>OPERADOR LOGÍSTICO</v>
          </cell>
          <cell r="W109" t="str">
            <v>OPERADOR LOGÍSTICO</v>
          </cell>
          <cell r="X109" t="str">
            <v>OPERADOR LOGÍSTICO</v>
          </cell>
          <cell r="Y109" t="str">
            <v>OPERADOR LOGÍSTICO</v>
          </cell>
          <cell r="Z109" t="str">
            <v>Estimación de precios con base en el proceso FDLSUBA-LP-013-2025 (140689) – Contrato 1000 – 2025, indexando el incremento de precios en el mercado con base en el Índice de Precios al Consumidor (IPC) para el mes de marzo de 2026, el cual fue de 5,56%.</v>
          </cell>
          <cell r="AA109" t="str">
            <v>OPERADOR LOGÍSTICO</v>
          </cell>
          <cell r="AB109" t="str">
            <v>OPERADOR LOGÍSTICO</v>
          </cell>
          <cell r="AC109" t="str">
            <v>OPERADOR LOGÍSTICO</v>
          </cell>
          <cell r="AD109" t="str">
            <v>OPERADOR LOGÍSTICO</v>
          </cell>
          <cell r="AE109" t="str">
            <v>OPERADOR LOGÍSTICO</v>
          </cell>
          <cell r="AF109">
            <v>5062650.4201680701</v>
          </cell>
          <cell r="AG109">
            <v>961903.57983193279</v>
          </cell>
          <cell r="AH109">
            <v>6024554</v>
          </cell>
          <cell r="AI109" t="str">
            <v>OPERADOR LOGÍSTICO</v>
          </cell>
          <cell r="AJ109" t="str">
            <v>OPERADOR LOGÍSTICO</v>
          </cell>
          <cell r="AK109" t="str">
            <v>OPERADOR LOGÍSTICO</v>
          </cell>
          <cell r="AL109" t="str">
            <v>OPERADOR LOGÍSTICO</v>
          </cell>
          <cell r="AM109" t="str">
            <v>FUNCAS</v>
          </cell>
          <cell r="AN109" t="str">
            <v>OPERADOR LOGÍSTICO</v>
          </cell>
          <cell r="AO109" t="str">
            <v>OPERADOR LOGÍSTICO</v>
          </cell>
          <cell r="AP109" t="str">
            <v>OPERADOR LOGÍSTICO</v>
          </cell>
          <cell r="AQ109">
            <v>4987833</v>
          </cell>
          <cell r="AR109">
            <v>947688</v>
          </cell>
          <cell r="AS109">
            <v>5935521</v>
          </cell>
          <cell r="AT109">
            <v>4987833</v>
          </cell>
          <cell r="AU109">
            <v>5935521</v>
          </cell>
          <cell r="AV109">
            <v>5649390</v>
          </cell>
          <cell r="AW109">
            <v>5649390</v>
          </cell>
          <cell r="AX109" t="str">
            <v/>
          </cell>
          <cell r="AY109">
            <v>8.0000000000000002E-3</v>
          </cell>
        </row>
        <row r="110">
          <cell r="D110" t="str">
            <v>Carton Cartulina Blanco x pliego</v>
          </cell>
          <cell r="E110" t="str">
            <v>Cartulina blanca 70x100 cm: Pliego de alto gramaje con superficie lisa y acabado uniforme en ambas caras.</v>
          </cell>
          <cell r="F110" t="str">
            <v>Unidad</v>
          </cell>
          <cell r="G110">
            <v>1</v>
          </cell>
          <cell r="H110" t="str">
            <v>Compra</v>
          </cell>
          <cell r="I110" t="str">
            <v>Sandra Vargas</v>
          </cell>
          <cell r="J110">
            <v>46069</v>
          </cell>
          <cell r="K110" t="str">
            <v>Tienda estudiantil_Varios</v>
          </cell>
          <cell r="L110" t="str">
            <v>Gestión</v>
          </cell>
          <cell r="M110" t="str">
            <v>Tienda Estudiantil</v>
          </cell>
          <cell r="N110">
            <v>2171</v>
          </cell>
          <cell r="O110" t="str">
            <v>Precio sin Iva</v>
          </cell>
          <cell r="P110" t="str">
            <v>Si tiene IVA</v>
          </cell>
          <cell r="Q110">
            <v>2171</v>
          </cell>
          <cell r="R110">
            <v>412.49</v>
          </cell>
          <cell r="S110">
            <v>2583.4899999999998</v>
          </cell>
          <cell r="T110">
            <v>2171</v>
          </cell>
          <cell r="U110" t="str">
            <v xml:space="preserve">                                                                                     </v>
          </cell>
          <cell r="V110" t="str">
            <v>Sandra Vargas</v>
          </cell>
          <cell r="W110">
            <v>46069</v>
          </cell>
          <cell r="X110" t="str">
            <v>Renovacion libreria y papeleria_Varios 16-02-2026...</v>
          </cell>
          <cell r="Y110" t="str">
            <v>Gestión</v>
          </cell>
          <cell r="Z110" t="str">
            <v>Renovacion Libreria y Papeleria</v>
          </cell>
          <cell r="AA110">
            <v>2185</v>
          </cell>
          <cell r="AB110" t="str">
            <v>Precio sin Iva</v>
          </cell>
          <cell r="AC110" t="str">
            <v>Si tiene IVA</v>
          </cell>
          <cell r="AD110">
            <v>2185</v>
          </cell>
          <cell r="AE110">
            <v>415.15</v>
          </cell>
          <cell r="AF110">
            <v>2600.15</v>
          </cell>
          <cell r="AG110">
            <v>2185</v>
          </cell>
          <cell r="AH110">
            <v>2600.15</v>
          </cell>
          <cell r="AI110" t="str">
            <v>Sandra Vargas</v>
          </cell>
          <cell r="AJ110">
            <v>46069</v>
          </cell>
          <cell r="AK110" t="str">
            <v>Papeleria jonan_Cartón Cartulina wpc reverso blanco mate 315 grs 70 x 100</v>
          </cell>
          <cell r="AL110" t="str">
            <v>Gestión</v>
          </cell>
          <cell r="AM110" t="str">
            <v>Papeleria Jonan</v>
          </cell>
          <cell r="AN110">
            <v>2800</v>
          </cell>
          <cell r="AO110" t="str">
            <v>IVA incluido</v>
          </cell>
          <cell r="AP110" t="str">
            <v>Si tiene IVA</v>
          </cell>
          <cell r="AQ110">
            <v>2352.9411764705878</v>
          </cell>
          <cell r="AR110">
            <v>447.05882352941171</v>
          </cell>
          <cell r="AS110">
            <v>2800</v>
          </cell>
          <cell r="AT110">
            <v>2800</v>
          </cell>
          <cell r="AU110">
            <v>2800</v>
          </cell>
          <cell r="AV110">
            <v>2661</v>
          </cell>
          <cell r="AW110">
            <v>2661</v>
          </cell>
          <cell r="AX110">
            <v>141</v>
          </cell>
          <cell r="AY110">
            <v>5.29875986471251E-2</v>
          </cell>
          <cell r="BA110">
            <v>3</v>
          </cell>
        </row>
        <row r="111">
          <cell r="D111" t="str">
            <v>Cartón paja octavo paquete  x 10 unidades</v>
          </cell>
          <cell r="E111" t="str">
            <v>Paquete de 10 unidades de cartón paja tamaño 1/8 (25 x 35 cm aprox.), de superficie lisa y semirrígida en color crema natural.</v>
          </cell>
          <cell r="F111" t="str">
            <v>Unidad</v>
          </cell>
          <cell r="G111">
            <v>1</v>
          </cell>
          <cell r="H111" t="str">
            <v>Compra</v>
          </cell>
          <cell r="I111" t="str">
            <v>Sandra Vargas</v>
          </cell>
          <cell r="J111">
            <v>46069</v>
          </cell>
          <cell r="K111" t="str">
            <v>Gran papelera_Varios 11-02-2026</v>
          </cell>
          <cell r="L111" t="str">
            <v>Gestión</v>
          </cell>
          <cell r="M111" t="str">
            <v>Gran Papelera</v>
          </cell>
          <cell r="N111">
            <v>9000</v>
          </cell>
          <cell r="O111" t="str">
            <v>IVA incluido</v>
          </cell>
          <cell r="P111" t="str">
            <v>Si tiene IVA</v>
          </cell>
          <cell r="Q111">
            <v>7563.0252100840344</v>
          </cell>
          <cell r="R111">
            <v>1436.974789915967</v>
          </cell>
          <cell r="S111">
            <v>9000</v>
          </cell>
          <cell r="T111">
            <v>9000</v>
          </cell>
          <cell r="U111">
            <v>9000</v>
          </cell>
          <cell r="V111" t="str">
            <v>Sandra Vargas</v>
          </cell>
          <cell r="W111">
            <v>46069</v>
          </cell>
          <cell r="X111" t="str">
            <v>Renovacion libreria y papeleria_Varios 16-02-2026...</v>
          </cell>
          <cell r="Y111" t="str">
            <v>Gestión</v>
          </cell>
          <cell r="Z111" t="str">
            <v>Renovacion Libreria y Papeleria</v>
          </cell>
          <cell r="AA111">
            <v>6050</v>
          </cell>
          <cell r="AB111" t="str">
            <v>Precio sin Iva</v>
          </cell>
          <cell r="AC111" t="str">
            <v>Si tiene IVA</v>
          </cell>
          <cell r="AD111">
            <v>6050</v>
          </cell>
          <cell r="AE111">
            <v>1149.5</v>
          </cell>
          <cell r="AF111">
            <v>7199.5</v>
          </cell>
          <cell r="AG111">
            <v>6050</v>
          </cell>
          <cell r="AH111">
            <v>7199.5</v>
          </cell>
          <cell r="AI111" t="str">
            <v>Sandra Vargas</v>
          </cell>
          <cell r="AJ111">
            <v>46069</v>
          </cell>
          <cell r="AK111" t="str">
            <v>Cartel arte y papeleria_varios</v>
          </cell>
          <cell r="AL111" t="str">
            <v>Gestión</v>
          </cell>
          <cell r="AM111" t="str">
            <v>Cartel Arte y Papeleria</v>
          </cell>
          <cell r="AN111">
            <v>10000</v>
          </cell>
          <cell r="AO111" t="str">
            <v>IVA incluido</v>
          </cell>
          <cell r="AP111" t="str">
            <v>Si tiene IVA</v>
          </cell>
          <cell r="AQ111">
            <v>8403.361344537816</v>
          </cell>
          <cell r="AR111">
            <v>1596.6386554621849</v>
          </cell>
          <cell r="AS111">
            <v>10000</v>
          </cell>
          <cell r="AT111">
            <v>10000</v>
          </cell>
          <cell r="AU111">
            <v>10000</v>
          </cell>
          <cell r="AV111">
            <v>8733</v>
          </cell>
          <cell r="AW111">
            <v>8733</v>
          </cell>
          <cell r="AX111">
            <v>1419</v>
          </cell>
          <cell r="AY111">
            <v>0.162487117828925</v>
          </cell>
          <cell r="BA111">
            <v>3</v>
          </cell>
        </row>
        <row r="112">
          <cell r="D112" t="str">
            <v>Cartuchera</v>
          </cell>
          <cell r="E112" t="str">
            <v>Cartuchera en lona de alta resistencia, color neutro (unisex), con dimensiones de 23 cm de ancho x 11.5 cm de alto. Incluye cierre de cremallera reforzado y garantía de 12 meses por defectos de fabricación.</v>
          </cell>
          <cell r="F112" t="str">
            <v>Unidad</v>
          </cell>
          <cell r="G112">
            <v>1</v>
          </cell>
          <cell r="H112" t="str">
            <v>Compra</v>
          </cell>
          <cell r="I112" t="str">
            <v>Sandra Vargas</v>
          </cell>
          <cell r="J112">
            <v>46070</v>
          </cell>
          <cell r="K112" t="str">
            <v>Papelería gran central_varios 06-02-2026</v>
          </cell>
          <cell r="L112" t="str">
            <v>Gestión</v>
          </cell>
          <cell r="M112" t="str">
            <v>Papeleria gran central</v>
          </cell>
          <cell r="N112">
            <v>2000</v>
          </cell>
          <cell r="O112" t="str">
            <v>IVA incluido</v>
          </cell>
          <cell r="P112" t="str">
            <v>Si tiene IVA</v>
          </cell>
          <cell r="Q112">
            <v>1680.672268907563</v>
          </cell>
          <cell r="R112">
            <v>319.32773109243698</v>
          </cell>
          <cell r="S112">
            <v>2000</v>
          </cell>
          <cell r="T112">
            <v>2000</v>
          </cell>
          <cell r="U112">
            <v>2000</v>
          </cell>
          <cell r="V112" t="str">
            <v>Sandra Vargas</v>
          </cell>
          <cell r="W112">
            <v>46070</v>
          </cell>
          <cell r="X112" t="str">
            <v>Trascribimos_Cartuchera Lona unicolor</v>
          </cell>
          <cell r="Y112" t="str">
            <v>Gestión</v>
          </cell>
          <cell r="Z112" t="str">
            <v>Trascribimos</v>
          </cell>
          <cell r="AA112">
            <v>2400</v>
          </cell>
          <cell r="AB112" t="str">
            <v>IVA incluido</v>
          </cell>
          <cell r="AC112" t="str">
            <v>Si tiene IVA</v>
          </cell>
          <cell r="AD112">
            <v>2016.806722689076</v>
          </cell>
          <cell r="AE112">
            <v>383.19327731092437</v>
          </cell>
          <cell r="AF112">
            <v>2400</v>
          </cell>
          <cell r="AG112">
            <v>2400</v>
          </cell>
          <cell r="AH112">
            <v>2400</v>
          </cell>
          <cell r="AI112" t="str">
            <v>Sandra Vargas</v>
          </cell>
          <cell r="AJ112">
            <v>46070</v>
          </cell>
          <cell r="AK112" t="str">
            <v>Inversiones sja sas_Cartuchera Escolar</v>
          </cell>
          <cell r="AL112" t="str">
            <v>Gestión</v>
          </cell>
          <cell r="AM112" t="str">
            <v>Inversiones sja sas</v>
          </cell>
          <cell r="AN112">
            <v>2800</v>
          </cell>
          <cell r="AO112" t="str">
            <v>IVA incluido</v>
          </cell>
          <cell r="AP112" t="str">
            <v>Si tiene IVA</v>
          </cell>
          <cell r="AQ112">
            <v>2352.9411764705878</v>
          </cell>
          <cell r="AR112">
            <v>447.05882352941171</v>
          </cell>
          <cell r="AS112">
            <v>2800</v>
          </cell>
          <cell r="AT112">
            <v>2800</v>
          </cell>
          <cell r="AU112">
            <v>2800</v>
          </cell>
          <cell r="AV112">
            <v>2400</v>
          </cell>
          <cell r="AW112">
            <v>2400</v>
          </cell>
          <cell r="AX112">
            <v>400</v>
          </cell>
          <cell r="AY112">
            <v>0.16666666666666699</v>
          </cell>
          <cell r="BA112">
            <v>3</v>
          </cell>
        </row>
        <row r="113">
          <cell r="D113" t="str">
            <v>Cartulina durex octavo paquete x  20 unidades</v>
          </cell>
          <cell r="E113" t="str">
            <v>Paquete de 20 láminas de cartulina Durex tamaño 1/8 (25 x 35 cm), gramaje de 140 g/m². Textura rugosa de alta absorción, color blanco natural.</v>
          </cell>
          <cell r="F113" t="str">
            <v>Unidad</v>
          </cell>
          <cell r="G113">
            <v>1</v>
          </cell>
          <cell r="H113" t="str">
            <v>Compra</v>
          </cell>
          <cell r="I113" t="str">
            <v>Sandra Vargas</v>
          </cell>
          <cell r="J113">
            <v>46070</v>
          </cell>
          <cell r="K113" t="str">
            <v>Tienda estudiantil_Varios</v>
          </cell>
          <cell r="L113" t="str">
            <v>Gestión</v>
          </cell>
          <cell r="M113" t="str">
            <v>Tienda Estudiantil</v>
          </cell>
          <cell r="N113">
            <v>7990</v>
          </cell>
          <cell r="O113" t="str">
            <v>Precio sin Iva</v>
          </cell>
          <cell r="P113" t="str">
            <v>Si tiene IVA</v>
          </cell>
          <cell r="Q113">
            <v>7990</v>
          </cell>
          <cell r="R113">
            <v>1518.1</v>
          </cell>
          <cell r="S113">
            <v>9508.1</v>
          </cell>
          <cell r="T113">
            <v>7990</v>
          </cell>
          <cell r="U113">
            <v>9508.1</v>
          </cell>
          <cell r="V113" t="str">
            <v>Sandra Vargas</v>
          </cell>
          <cell r="W113">
            <v>46070</v>
          </cell>
          <cell r="X113" t="str">
            <v>Comercializadora tj_Varios</v>
          </cell>
          <cell r="Y113" t="str">
            <v>Gestión</v>
          </cell>
          <cell r="Z113" t="str">
            <v>Comercializadora Tj</v>
          </cell>
          <cell r="AA113">
            <v>7774</v>
          </cell>
          <cell r="AB113" t="str">
            <v>Precio sin Iva</v>
          </cell>
          <cell r="AC113" t="str">
            <v>Si tiene IVA</v>
          </cell>
          <cell r="AD113">
            <v>7774</v>
          </cell>
          <cell r="AE113">
            <v>1477.06</v>
          </cell>
          <cell r="AF113">
            <v>9251.06</v>
          </cell>
          <cell r="AG113">
            <v>7774</v>
          </cell>
          <cell r="AH113">
            <v>9251.06</v>
          </cell>
          <cell r="AI113" t="str">
            <v>Sandra Vargas</v>
          </cell>
          <cell r="AJ113">
            <v>46070</v>
          </cell>
          <cell r="AK113" t="str">
            <v>Celeste_CARTULINA DUREX 1_8 PAQ X 20</v>
          </cell>
          <cell r="AL113" t="str">
            <v>Gestión</v>
          </cell>
          <cell r="AM113" t="str">
            <v>Celeste</v>
          </cell>
          <cell r="AN113">
            <v>11000</v>
          </cell>
          <cell r="AO113" t="str">
            <v>IVA incluido</v>
          </cell>
          <cell r="AP113" t="str">
            <v>Si tiene IVA</v>
          </cell>
          <cell r="AQ113">
            <v>9243.6974789915967</v>
          </cell>
          <cell r="AR113">
            <v>1756.3025210084029</v>
          </cell>
          <cell r="AS113">
            <v>11000</v>
          </cell>
          <cell r="AT113">
            <v>11000</v>
          </cell>
          <cell r="AU113">
            <v>11000</v>
          </cell>
          <cell r="AV113">
            <v>9920</v>
          </cell>
          <cell r="AW113">
            <v>9920</v>
          </cell>
          <cell r="AX113">
            <v>944</v>
          </cell>
          <cell r="AY113">
            <v>9.5161290322580597E-2</v>
          </cell>
          <cell r="BA113">
            <v>3</v>
          </cell>
        </row>
        <row r="114">
          <cell r="D114" t="str">
            <v>Cartulina Medio Pliego</v>
          </cell>
          <cell r="E114" t="str">
            <v>Lámina de cartulina de 50 x 70 cm (medio pliego), gramaje de 180g a 220g y acabado mate uniforme.</v>
          </cell>
          <cell r="F114" t="str">
            <v>Unidad</v>
          </cell>
          <cell r="G114">
            <v>1</v>
          </cell>
          <cell r="H114" t="str">
            <v>Compra</v>
          </cell>
          <cell r="I114" t="str">
            <v>Sandra Vargas</v>
          </cell>
          <cell r="J114">
            <v>46070</v>
          </cell>
          <cell r="K114" t="str">
            <v>Cartel arte y papeleria_varios</v>
          </cell>
          <cell r="L114" t="str">
            <v>Gestión</v>
          </cell>
          <cell r="M114" t="str">
            <v>Cartel Arte y Papeleria</v>
          </cell>
          <cell r="N114">
            <v>1200</v>
          </cell>
          <cell r="O114" t="str">
            <v>IVA incluido</v>
          </cell>
          <cell r="P114" t="str">
            <v>Si tiene IVA</v>
          </cell>
          <cell r="Q114">
            <v>1008.403361344538</v>
          </cell>
          <cell r="R114">
            <v>191.59663865546219</v>
          </cell>
          <cell r="S114">
            <v>1200</v>
          </cell>
          <cell r="T114">
            <v>1200</v>
          </cell>
          <cell r="U114">
            <v>1200</v>
          </cell>
          <cell r="V114" t="str">
            <v>Sandra Vargas</v>
          </cell>
          <cell r="W114">
            <v>46070</v>
          </cell>
          <cell r="X114" t="str">
            <v>Papeleria estacion de suba_Varios</v>
          </cell>
          <cell r="Y114" t="str">
            <v>Gestión</v>
          </cell>
          <cell r="Z114" t="str">
            <v>Papeleria la Estacion de Suba</v>
          </cell>
          <cell r="AA114">
            <v>1500</v>
          </cell>
          <cell r="AB114" t="str">
            <v>IVA incluido</v>
          </cell>
          <cell r="AC114" t="str">
            <v>Si tiene IVA</v>
          </cell>
          <cell r="AD114">
            <v>1260.5042016806719</v>
          </cell>
          <cell r="AE114">
            <v>239.49579831932769</v>
          </cell>
          <cell r="AF114">
            <v>1500</v>
          </cell>
          <cell r="AG114">
            <v>1500</v>
          </cell>
          <cell r="AH114">
            <v>1500</v>
          </cell>
          <cell r="AI114" t="str">
            <v>Sandra Vargas</v>
          </cell>
          <cell r="AJ114">
            <v>46070</v>
          </cell>
          <cell r="AK114" t="str">
            <v>Tienda estudiantil_Varios</v>
          </cell>
          <cell r="AL114" t="str">
            <v>Gestión</v>
          </cell>
          <cell r="AM114" t="str">
            <v>Tienda Estudiantil</v>
          </cell>
          <cell r="AN114">
            <v>1050</v>
          </cell>
          <cell r="AO114" t="str">
            <v>Precio sin Iva</v>
          </cell>
          <cell r="AP114" t="str">
            <v>Si tiene IVA</v>
          </cell>
          <cell r="AQ114">
            <v>1050</v>
          </cell>
          <cell r="AR114">
            <v>199.5</v>
          </cell>
          <cell r="AS114">
            <v>1249.5</v>
          </cell>
          <cell r="AT114">
            <v>1050</v>
          </cell>
          <cell r="AU114">
            <v>1249.5</v>
          </cell>
          <cell r="AV114">
            <v>1317</v>
          </cell>
          <cell r="AW114">
            <v>1317</v>
          </cell>
          <cell r="AX114">
            <v>161</v>
          </cell>
          <cell r="AY114">
            <v>0.122247532270311</v>
          </cell>
          <cell r="BA114">
            <v>3</v>
          </cell>
        </row>
        <row r="115">
          <cell r="D115" t="str">
            <v>Cartulina Papel Iris Pliegos 70×100</v>
          </cell>
          <cell r="E115" t="str">
            <v>Paquete de 10 pliegos de papel Iris de 70 x 100 cm, gramaje de 125 g/m² y colores surtidos</v>
          </cell>
          <cell r="F115" t="str">
            <v>Unidad</v>
          </cell>
          <cell r="G115">
            <v>1</v>
          </cell>
          <cell r="H115" t="str">
            <v>Compra</v>
          </cell>
          <cell r="I115" t="str">
            <v>Sandra Vargas</v>
          </cell>
          <cell r="J115">
            <v>46071</v>
          </cell>
          <cell r="K115" t="str">
            <v>Papeleria estacion de suba_Varios</v>
          </cell>
          <cell r="L115" t="str">
            <v>Gestión</v>
          </cell>
          <cell r="M115" t="str">
            <v>Papeleria  la Estacion de Suba</v>
          </cell>
          <cell r="N115">
            <v>2000</v>
          </cell>
          <cell r="O115" t="str">
            <v>IVA incluido</v>
          </cell>
          <cell r="P115" t="str">
            <v>Si tiene IVA</v>
          </cell>
          <cell r="Q115">
            <v>1680.672268907563</v>
          </cell>
          <cell r="R115">
            <v>319.32773109243698</v>
          </cell>
          <cell r="S115">
            <v>2000</v>
          </cell>
          <cell r="T115">
            <v>2000</v>
          </cell>
          <cell r="U115">
            <v>2000</v>
          </cell>
          <cell r="V115" t="str">
            <v>Luz Jimenez</v>
          </cell>
          <cell r="W115">
            <v>46139</v>
          </cell>
          <cell r="X115" t="str">
            <v>Renovacion libreria y papeleria_Varios 16-02-2026...</v>
          </cell>
          <cell r="Y115" t="str">
            <v>Gestión</v>
          </cell>
          <cell r="Z115" t="str">
            <v>Renovacion Libreria y papeleria</v>
          </cell>
          <cell r="AA115">
            <v>1681</v>
          </cell>
          <cell r="AB115" t="str">
            <v>Precio sin Iva</v>
          </cell>
          <cell r="AC115" t="str">
            <v>Si tiene IVA</v>
          </cell>
          <cell r="AD115">
            <v>1681</v>
          </cell>
          <cell r="AE115">
            <v>319.39</v>
          </cell>
          <cell r="AF115">
            <v>2000.39</v>
          </cell>
          <cell r="AG115">
            <v>1681</v>
          </cell>
          <cell r="AH115">
            <v>2000.39</v>
          </cell>
          <cell r="AI115" t="str">
            <v>Luz Jimenez</v>
          </cell>
          <cell r="AJ115">
            <v>46139</v>
          </cell>
          <cell r="AK115" t="str">
            <v>Tienda estudiantil_Varios</v>
          </cell>
          <cell r="AL115" t="str">
            <v>Gestión</v>
          </cell>
          <cell r="AM115" t="str">
            <v>Tienda Estudiantil</v>
          </cell>
          <cell r="AN115">
            <v>1694</v>
          </cell>
          <cell r="AO115" t="str">
            <v>Precio sin Iva</v>
          </cell>
          <cell r="AP115" t="str">
            <v>Si tiene IVA</v>
          </cell>
          <cell r="AQ115">
            <v>1694</v>
          </cell>
          <cell r="AR115">
            <v>321.86</v>
          </cell>
          <cell r="AS115">
            <v>2015.86</v>
          </cell>
          <cell r="AT115">
            <v>1694</v>
          </cell>
          <cell r="AU115">
            <v>2015.86</v>
          </cell>
          <cell r="AV115">
            <v>2005</v>
          </cell>
          <cell r="AW115">
            <v>2005</v>
          </cell>
          <cell r="AX115">
            <v>9</v>
          </cell>
          <cell r="AY115">
            <v>4.4887780548628397E-3</v>
          </cell>
          <cell r="BA115">
            <v>3</v>
          </cell>
        </row>
        <row r="116">
          <cell r="D116" t="str">
            <v>Cartulina por octavos paquete 50 láminas</v>
          </cell>
          <cell r="E116" t="str">
            <v>Paquete de 50 láminas de cartulina de 25 x 35 cm (1/8 de pliego), gramaje de 180g, colores surtidos o color único según requerimiento.</v>
          </cell>
          <cell r="F116" t="str">
            <v>Unidad</v>
          </cell>
          <cell r="G116">
            <v>1</v>
          </cell>
          <cell r="H116" t="str">
            <v>Compra</v>
          </cell>
          <cell r="I116" t="str">
            <v>Sandra Vargas</v>
          </cell>
          <cell r="J116">
            <v>46071</v>
          </cell>
          <cell r="K116" t="str">
            <v>Tienda estudiantil_Varios</v>
          </cell>
          <cell r="L116" t="str">
            <v>Gestión</v>
          </cell>
          <cell r="M116" t="str">
            <v>Tienda Estudiantil</v>
          </cell>
          <cell r="N116">
            <v>13043</v>
          </cell>
          <cell r="O116" t="str">
            <v>Precio sin Iva</v>
          </cell>
          <cell r="P116" t="str">
            <v>Si tiene IVA</v>
          </cell>
          <cell r="Q116">
            <v>13043</v>
          </cell>
          <cell r="R116">
            <v>2478.17</v>
          </cell>
          <cell r="S116">
            <v>15521.17</v>
          </cell>
          <cell r="T116">
            <v>13043</v>
          </cell>
          <cell r="U116">
            <v>15521.17</v>
          </cell>
          <cell r="V116" t="str">
            <v>Sandra Vargas</v>
          </cell>
          <cell r="W116">
            <v>46071</v>
          </cell>
          <cell r="X116" t="str">
            <v>Panamericana_Cartulina pack 160 gr, tamaño 1_8 , 16</v>
          </cell>
          <cell r="Y116" t="str">
            <v>Gestión</v>
          </cell>
          <cell r="Z116" t="str">
            <v>Panamericana</v>
          </cell>
          <cell r="AA116">
            <v>16700</v>
          </cell>
          <cell r="AB116" t="str">
            <v>IVA incluido</v>
          </cell>
          <cell r="AC116" t="str">
            <v>Si tiene IVA</v>
          </cell>
          <cell r="AD116">
            <v>14033.613445378151</v>
          </cell>
          <cell r="AE116">
            <v>2666.386554621849</v>
          </cell>
          <cell r="AF116">
            <v>16700</v>
          </cell>
          <cell r="AG116">
            <v>16700</v>
          </cell>
          <cell r="AH116">
            <v>16700</v>
          </cell>
          <cell r="AI116" t="str">
            <v>Sandra Vargas</v>
          </cell>
          <cell r="AJ116">
            <v>46071</v>
          </cell>
          <cell r="AK116" t="str">
            <v>Exito_Block Cartulina</v>
          </cell>
          <cell r="AL116" t="str">
            <v>Gestión</v>
          </cell>
          <cell r="AM116" t="str">
            <v>Exito</v>
          </cell>
          <cell r="AN116">
            <v>14390</v>
          </cell>
          <cell r="AO116" t="str">
            <v>IVA incluido</v>
          </cell>
          <cell r="AP116" t="str">
            <v>Si tiene IVA</v>
          </cell>
          <cell r="AQ116">
            <v>12092.43697478992</v>
          </cell>
          <cell r="AR116">
            <v>2297.5630252100841</v>
          </cell>
          <cell r="AS116">
            <v>14390</v>
          </cell>
          <cell r="AT116">
            <v>14390</v>
          </cell>
          <cell r="AU116">
            <v>14390</v>
          </cell>
          <cell r="AV116">
            <v>15537</v>
          </cell>
          <cell r="AW116">
            <v>15537</v>
          </cell>
          <cell r="AX116">
            <v>1155</v>
          </cell>
          <cell r="AY116">
            <v>7.4338675419965194E-2</v>
          </cell>
          <cell r="BA116">
            <v>3</v>
          </cell>
        </row>
        <row r="117">
          <cell r="D117" t="str">
            <v>Certificado de participación</v>
          </cell>
          <cell r="E117" t="str">
            <v xml:space="preserve">Impresión a media carta 4 tintas en papel _x000D_
propalcote o kimberly 200 gr, tamaño 22x28 cm con nombres individuales o espacio para el mismo, refilados._x000D_
</v>
          </cell>
          <cell r="F117" t="str">
            <v>Unidad</v>
          </cell>
          <cell r="G117">
            <v>1</v>
          </cell>
          <cell r="H117" t="str">
            <v>Compra</v>
          </cell>
          <cell r="I117" t="str">
            <v>Luz Jimenez</v>
          </cell>
          <cell r="J117">
            <v>46146</v>
          </cell>
          <cell r="K117" t="str">
            <v>Guerra Editores_Varios</v>
          </cell>
          <cell r="L117" t="str">
            <v>Transcripción</v>
          </cell>
          <cell r="M117" t="str">
            <v>GUERRA EDITORES</v>
          </cell>
          <cell r="N117">
            <v>2200</v>
          </cell>
          <cell r="O117" t="str">
            <v>Precio sin Iva</v>
          </cell>
          <cell r="P117" t="str">
            <v>Si tiene IVA</v>
          </cell>
          <cell r="Q117">
            <v>2200</v>
          </cell>
          <cell r="R117">
            <v>418</v>
          </cell>
          <cell r="S117">
            <v>2618</v>
          </cell>
          <cell r="T117">
            <v>2200</v>
          </cell>
          <cell r="U117">
            <v>2618</v>
          </cell>
          <cell r="V117" t="str">
            <v>Luz Jimenez</v>
          </cell>
          <cell r="W117">
            <v>46146</v>
          </cell>
          <cell r="X117" t="str">
            <v>SGD_ VARIOS 19-02-2026 SAS.pdf</v>
          </cell>
          <cell r="Y117" t="str">
            <v>Transcripción</v>
          </cell>
          <cell r="Z117" t="str">
            <v>SG DIGITAL S.A.S</v>
          </cell>
          <cell r="AA117">
            <v>3200</v>
          </cell>
          <cell r="AB117" t="str">
            <v>IVA incluido</v>
          </cell>
          <cell r="AC117" t="str">
            <v>Si tiene IVA</v>
          </cell>
          <cell r="AD117">
            <v>2689.0756302521008</v>
          </cell>
          <cell r="AE117">
            <v>510.92436974789922</v>
          </cell>
          <cell r="AF117">
            <v>3200</v>
          </cell>
          <cell r="AG117">
            <v>3200</v>
          </cell>
          <cell r="AH117">
            <v>3200</v>
          </cell>
          <cell r="AI117" t="str">
            <v>Luz Jimenez</v>
          </cell>
          <cell r="AJ117">
            <v>46146</v>
          </cell>
          <cell r="AK117" t="str">
            <v>JEGAR PUBLICIDAD MISIONES.pdf</v>
          </cell>
          <cell r="AL117" t="str">
            <v>Gestión</v>
          </cell>
          <cell r="AM117" t="str">
            <v>JEGAR PUBLICIDAD MISIONES</v>
          </cell>
          <cell r="AN117">
            <v>3800</v>
          </cell>
          <cell r="AO117" t="str">
            <v>Precio sin Iva</v>
          </cell>
          <cell r="AP117" t="str">
            <v>No tiene IVA</v>
          </cell>
          <cell r="AQ117">
            <v>3800</v>
          </cell>
          <cell r="AR117">
            <v>0</v>
          </cell>
          <cell r="AS117">
            <v>3800</v>
          </cell>
          <cell r="AT117">
            <v>3800</v>
          </cell>
          <cell r="AU117">
            <v>3800</v>
          </cell>
          <cell r="AV117">
            <v>3206</v>
          </cell>
          <cell r="AW117">
            <v>3206</v>
          </cell>
          <cell r="AX117">
            <v>591</v>
          </cell>
          <cell r="AY117">
            <v>0.18434185901434799</v>
          </cell>
          <cell r="BA117">
            <v>3</v>
          </cell>
          <cell r="BB117" t="str">
            <v>Tercer ítem sin IVA</v>
          </cell>
        </row>
        <row r="118">
          <cell r="D118" t="str">
            <v>Cinta enmascarar 48 mm x40 mt</v>
          </cell>
          <cell r="E118" t="str">
            <v>Cinta de enmascarar de alta adherencia de 48 mm (2") x 20 m</v>
          </cell>
          <cell r="F118" t="str">
            <v>Unidad</v>
          </cell>
          <cell r="G118">
            <v>1</v>
          </cell>
          <cell r="H118" t="str">
            <v>Compra</v>
          </cell>
          <cell r="I118" t="str">
            <v>Sandra Vargas</v>
          </cell>
          <cell r="J118">
            <v>46071</v>
          </cell>
          <cell r="K118" t="str">
            <v>Tienda estudiantil_Varios</v>
          </cell>
          <cell r="L118" t="str">
            <v>Gestión</v>
          </cell>
          <cell r="M118" t="str">
            <v>Tienda Estudiantil</v>
          </cell>
          <cell r="N118">
            <v>4547</v>
          </cell>
          <cell r="O118" t="str">
            <v>Precio sin Iva</v>
          </cell>
          <cell r="P118" t="str">
            <v>Si tiene IVA</v>
          </cell>
          <cell r="Q118">
            <v>4547</v>
          </cell>
          <cell r="R118">
            <v>863.93000000000006</v>
          </cell>
          <cell r="S118">
            <v>5410.93</v>
          </cell>
          <cell r="T118">
            <v>4547</v>
          </cell>
          <cell r="U118">
            <v>5410.93</v>
          </cell>
          <cell r="V118" t="str">
            <v>Sandra Vargas</v>
          </cell>
          <cell r="W118">
            <v>46071</v>
          </cell>
          <cell r="X118" t="str">
            <v>Papeleria estacion de suba_Varios</v>
          </cell>
          <cell r="Y118" t="str">
            <v>Gestión</v>
          </cell>
          <cell r="Z118" t="str">
            <v>Papeleria la Estacion de Suba</v>
          </cell>
          <cell r="AA118">
            <v>6500</v>
          </cell>
          <cell r="AB118" t="str">
            <v>IVA incluido</v>
          </cell>
          <cell r="AC118" t="str">
            <v>Si tiene IVA</v>
          </cell>
          <cell r="AD118">
            <v>5462.1848739495799</v>
          </cell>
          <cell r="AE118">
            <v>1037.8151260504201</v>
          </cell>
          <cell r="AF118">
            <v>6500</v>
          </cell>
          <cell r="AG118">
            <v>6500</v>
          </cell>
          <cell r="AH118">
            <v>6500</v>
          </cell>
          <cell r="AI118" t="str">
            <v>Sandra Vargas</v>
          </cell>
          <cell r="AJ118">
            <v>46071</v>
          </cell>
          <cell r="AK118" t="str">
            <v>Comercializadora tj_Varios</v>
          </cell>
          <cell r="AL118" t="str">
            <v>Gestión</v>
          </cell>
          <cell r="AM118" t="str">
            <v>Comercializadora Tj</v>
          </cell>
          <cell r="AN118">
            <v>5850</v>
          </cell>
          <cell r="AO118" t="str">
            <v>Precio sin Iva</v>
          </cell>
          <cell r="AP118" t="str">
            <v>Si tiene IVA</v>
          </cell>
          <cell r="AQ118">
            <v>5850</v>
          </cell>
          <cell r="AR118">
            <v>1111.5</v>
          </cell>
          <cell r="AS118">
            <v>6961.5</v>
          </cell>
          <cell r="AT118">
            <v>5850</v>
          </cell>
          <cell r="AU118">
            <v>6961.5</v>
          </cell>
          <cell r="AV118">
            <v>6291</v>
          </cell>
          <cell r="AW118">
            <v>6291</v>
          </cell>
          <cell r="AX118">
            <v>796</v>
          </cell>
          <cell r="AY118">
            <v>0.126529963439835</v>
          </cell>
          <cell r="BA118">
            <v>3</v>
          </cell>
        </row>
        <row r="119">
          <cell r="D119" t="str">
            <v>Cinta transparente gruesa</v>
          </cell>
          <cell r="E119" t="str">
            <v>Cinta de polipropileno transparente de 48 mm de ancho x 160 m de longitud, con un espesor de 1143 µm y acabado brillante. Adhesivo de alta adherencia y película resistente a la tensión.</v>
          </cell>
          <cell r="F119" t="str">
            <v>Unidad</v>
          </cell>
          <cell r="G119">
            <v>1</v>
          </cell>
          <cell r="H119" t="str">
            <v>Compra</v>
          </cell>
          <cell r="I119" t="str">
            <v>Sandra Vargas</v>
          </cell>
          <cell r="J119">
            <v>46071</v>
          </cell>
          <cell r="K119" t="str">
            <v>Gran papelera_Varios 11-02-2026</v>
          </cell>
          <cell r="L119" t="str">
            <v>Gestión</v>
          </cell>
          <cell r="M119" t="str">
            <v>Gran Papelera</v>
          </cell>
          <cell r="N119">
            <v>6000</v>
          </cell>
          <cell r="O119" t="str">
            <v>IVA incluido</v>
          </cell>
          <cell r="P119" t="str">
            <v>Si tiene IVA</v>
          </cell>
          <cell r="Q119">
            <v>5042.0168067226896</v>
          </cell>
          <cell r="R119">
            <v>957.98319327731099</v>
          </cell>
          <cell r="S119">
            <v>6000.0000000000009</v>
          </cell>
          <cell r="T119">
            <v>6000</v>
          </cell>
          <cell r="U119">
            <v>6000.0000000000009</v>
          </cell>
          <cell r="V119" t="str">
            <v>Sandra Vargas</v>
          </cell>
          <cell r="W119">
            <v>46071</v>
          </cell>
          <cell r="X119" t="str">
            <v>Papeleria estacion de suba_Varios</v>
          </cell>
          <cell r="Y119" t="str">
            <v>Gestión</v>
          </cell>
          <cell r="Z119" t="str">
            <v>Papeleria la Estacion de Suba</v>
          </cell>
          <cell r="AA119">
            <v>7100</v>
          </cell>
          <cell r="AB119" t="str">
            <v>IVA incluido</v>
          </cell>
          <cell r="AC119" t="str">
            <v>Si tiene IVA</v>
          </cell>
          <cell r="AD119">
            <v>5966.3865546218503</v>
          </cell>
          <cell r="AE119">
            <v>1133.613445378151</v>
          </cell>
          <cell r="AF119">
            <v>7100.0000000000009</v>
          </cell>
          <cell r="AG119">
            <v>7100</v>
          </cell>
          <cell r="AH119">
            <v>7100.0000000000009</v>
          </cell>
          <cell r="AI119" t="str">
            <v>Sandra Vargas</v>
          </cell>
          <cell r="AJ119">
            <v>46071</v>
          </cell>
          <cell r="AK119" t="str">
            <v>Papelería gran central_varios 06-02-2026</v>
          </cell>
          <cell r="AL119" t="str">
            <v>Gestión</v>
          </cell>
          <cell r="AM119" t="str">
            <v>Papeleria Gran Central</v>
          </cell>
          <cell r="AN119">
            <v>6500</v>
          </cell>
          <cell r="AO119" t="str">
            <v>IVA incluido</v>
          </cell>
          <cell r="AP119" t="str">
            <v>Si tiene IVA</v>
          </cell>
          <cell r="AQ119">
            <v>5462.1848739495799</v>
          </cell>
          <cell r="AR119">
            <v>1037.8151260504201</v>
          </cell>
          <cell r="AS119">
            <v>6500</v>
          </cell>
          <cell r="AT119">
            <v>6500</v>
          </cell>
          <cell r="AU119">
            <v>6500</v>
          </cell>
          <cell r="AV119">
            <v>6533</v>
          </cell>
          <cell r="AW119">
            <v>6533</v>
          </cell>
          <cell r="AX119">
            <v>551</v>
          </cell>
          <cell r="AY119">
            <v>8.4341037808051397E-2</v>
          </cell>
          <cell r="BA119">
            <v>3</v>
          </cell>
        </row>
        <row r="120">
          <cell r="D120" t="str">
            <v>Circuito cerrado</v>
          </cell>
          <cell r="E120" t="str">
            <v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v>
          </cell>
          <cell r="F120" t="str">
            <v>SERVICIO</v>
          </cell>
          <cell r="G120">
            <v>1</v>
          </cell>
          <cell r="Q120" t="str">
            <v> </v>
          </cell>
          <cell r="R120" t="str">
            <v> </v>
          </cell>
          <cell r="S120" t="str">
            <v> </v>
          </cell>
          <cell r="T120" t="str">
            <v> </v>
          </cell>
          <cell r="U120" t="str">
            <v> </v>
          </cell>
          <cell r="V120" t="str">
            <v>OPERADOR LOGÍSTICO</v>
          </cell>
          <cell r="W120" t="str">
            <v>OPERADOR LOGÍSTICO</v>
          </cell>
          <cell r="X120" t="str">
            <v>OPERADOR LOGÍSTICO</v>
          </cell>
          <cell r="Y120" t="str">
            <v>OPERADOR LOGÍSTICO</v>
          </cell>
          <cell r="Z120" t="str">
            <v>Estimación de precios con base en el proceso FDLSUBA-LP-013-2025 (140689) – Contrato 1000 – 2025, indexando el incremento de precios en el mercado con base en el Índice de Precios al Consumidor (IPC) para el mes de marzo de 2026, el cual fue de 5,56%.</v>
          </cell>
          <cell r="AA120" t="str">
            <v>OPERADOR LOGÍSTICO</v>
          </cell>
          <cell r="AB120" t="str">
            <v>OPERADOR LOGÍSTICO</v>
          </cell>
          <cell r="AC120" t="str">
            <v>OPERADOR LOGÍSTICO</v>
          </cell>
          <cell r="AD120" t="str">
            <v>OPERADOR LOGÍSTICO</v>
          </cell>
          <cell r="AE120" t="str">
            <v>OPERADOR LOGÍSTICO</v>
          </cell>
          <cell r="AF120">
            <v>3574947.8991596601</v>
          </cell>
          <cell r="AG120">
            <v>679240.10084033606</v>
          </cell>
          <cell r="AH120">
            <v>4254188</v>
          </cell>
          <cell r="AI120" t="str">
            <v>OPERADOR LOGÍSTICO</v>
          </cell>
          <cell r="AJ120" t="str">
            <v>OPERADOR LOGÍSTICO</v>
          </cell>
          <cell r="AK120" t="str">
            <v>OPERADOR LOGÍSTICO</v>
          </cell>
          <cell r="AL120" t="str">
            <v>OPERADOR LOGÍSTICO</v>
          </cell>
          <cell r="AM120" t="str">
            <v>FUNCAS</v>
          </cell>
          <cell r="AN120" t="str">
            <v>OPERADOR LOGÍSTICO</v>
          </cell>
          <cell r="AO120" t="str">
            <v>OPERADOR LOGÍSTICO</v>
          </cell>
          <cell r="AP120" t="str">
            <v>OPERADOR LOGÍSTICO</v>
          </cell>
          <cell r="AQ120">
            <v>3454383</v>
          </cell>
          <cell r="AR120">
            <v>656333</v>
          </cell>
          <cell r="AS120">
            <v>4110716</v>
          </cell>
          <cell r="AT120">
            <v>3454383</v>
          </cell>
          <cell r="AU120">
            <v>4110716</v>
          </cell>
          <cell r="AV120">
            <v>3842832</v>
          </cell>
          <cell r="AW120">
            <v>3842832</v>
          </cell>
          <cell r="AX120" t="str">
            <v/>
          </cell>
          <cell r="AY120">
            <v>2.4299999999999999E-2</v>
          </cell>
        </row>
        <row r="121">
          <cell r="D121" t="str">
            <v>Circuito cerrado de TV</v>
          </cell>
          <cell r="E121" t="str">
            <v>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v>
          </cell>
          <cell r="F121" t="str">
            <v>SERVICIO</v>
          </cell>
          <cell r="G121">
            <v>1</v>
          </cell>
          <cell r="Q121" t="str">
            <v> </v>
          </cell>
          <cell r="R121" t="str">
            <v> </v>
          </cell>
          <cell r="S121" t="str">
            <v> </v>
          </cell>
          <cell r="T121" t="str">
            <v> </v>
          </cell>
          <cell r="U121" t="str">
            <v> </v>
          </cell>
          <cell r="V121" t="str">
            <v>OPERADOR LOGÍSTICO</v>
          </cell>
          <cell r="W121" t="str">
            <v>OPERADOR LOGÍSTICO</v>
          </cell>
          <cell r="X121" t="str">
            <v>OPERADOR LOGÍSTICO</v>
          </cell>
          <cell r="Y121" t="str">
            <v>OPERADOR LOGÍSTICO</v>
          </cell>
          <cell r="Z121" t="str">
            <v>Estimación de precios con base en el proceso FDLSUBA-LP-013-2025 (140689) – Contrato 1000 – 2025, indexando el incremento de precios en el mercado con base en el Índice de Precios al Consumidor (IPC) para el mes de marzo de 2026, el cual fue de 5,56%.</v>
          </cell>
          <cell r="AA121" t="str">
            <v>OPERADOR LOGÍSTICO</v>
          </cell>
          <cell r="AB121" t="str">
            <v>OPERADOR LOGÍSTICO</v>
          </cell>
          <cell r="AC121" t="str">
            <v>OPERADOR LOGÍSTICO</v>
          </cell>
          <cell r="AD121" t="str">
            <v>OPERADOR LOGÍSTICO</v>
          </cell>
          <cell r="AE121" t="str">
            <v>OPERADOR LOGÍSTICO</v>
          </cell>
          <cell r="AF121">
            <v>4162678.9915966401</v>
          </cell>
          <cell r="AG121">
            <v>790909.00840336131</v>
          </cell>
          <cell r="AH121">
            <v>4953588</v>
          </cell>
          <cell r="AI121" t="str">
            <v>OPERADOR LOGÍSTICO</v>
          </cell>
          <cell r="AJ121" t="str">
            <v>OPERADOR LOGÍSTICO</v>
          </cell>
          <cell r="AK121" t="str">
            <v>OPERADOR LOGÍSTICO</v>
          </cell>
          <cell r="AL121" t="str">
            <v>OPERADOR LOGÍSTICO</v>
          </cell>
          <cell r="AM121" t="str">
            <v>FUNCAS</v>
          </cell>
          <cell r="AN121" t="str">
            <v>OPERADOR LOGÍSTICO</v>
          </cell>
          <cell r="AO121" t="str">
            <v>OPERADOR LOGÍSTICO</v>
          </cell>
          <cell r="AP121" t="str">
            <v>OPERADOR LOGÍSTICO</v>
          </cell>
          <cell r="AQ121">
            <v>4022293</v>
          </cell>
          <cell r="AR121">
            <v>764236</v>
          </cell>
          <cell r="AS121">
            <v>4786529</v>
          </cell>
          <cell r="AT121">
            <v>4022293</v>
          </cell>
          <cell r="AU121">
            <v>4786529</v>
          </cell>
          <cell r="AV121">
            <v>4474604</v>
          </cell>
          <cell r="AW121">
            <v>4474604</v>
          </cell>
          <cell r="AX121" t="str">
            <v/>
          </cell>
          <cell r="AY121">
            <v>2.4299999999999999E-2</v>
          </cell>
        </row>
        <row r="122">
          <cell r="D122" t="str">
            <v>Colores  Caja x 12 doble punta</v>
          </cell>
          <cell r="E122" t="str">
            <v>Caja de lápices de colores x 12 unidades, doble punta, de minas suaves, resistentes y fácil de afilar</v>
          </cell>
          <cell r="F122" t="str">
            <v>Unidad</v>
          </cell>
          <cell r="G122">
            <v>1</v>
          </cell>
          <cell r="H122" t="str">
            <v>Compra</v>
          </cell>
          <cell r="I122" t="str">
            <v>Sandra Vargas</v>
          </cell>
          <cell r="J122">
            <v>46071</v>
          </cell>
          <cell r="K122" t="str">
            <v>Papelería el mayorista_Colores x12 bicolor Zeppelin</v>
          </cell>
          <cell r="L122" t="str">
            <v>Gestión</v>
          </cell>
          <cell r="M122" t="str">
            <v>Gran Papelera</v>
          </cell>
          <cell r="N122">
            <v>7500</v>
          </cell>
          <cell r="O122" t="str">
            <v>IVA incluido</v>
          </cell>
          <cell r="P122" t="str">
            <v>Si tiene IVA</v>
          </cell>
          <cell r="Q122">
            <v>6302.5210084033597</v>
          </cell>
          <cell r="R122">
            <v>1197.4789915966389</v>
          </cell>
          <cell r="S122">
            <v>7500</v>
          </cell>
          <cell r="T122">
            <v>7500</v>
          </cell>
          <cell r="U122">
            <v>7500</v>
          </cell>
          <cell r="V122" t="str">
            <v>Sandra Vargas</v>
          </cell>
          <cell r="W122">
            <v>46071</v>
          </cell>
          <cell r="X122" t="str">
            <v>Papeleria estacion de suba_Varios</v>
          </cell>
          <cell r="Y122" t="str">
            <v>Gestión</v>
          </cell>
          <cell r="Z122" t="str">
            <v>Papeleria la Estacion de Suba</v>
          </cell>
          <cell r="AA122">
            <v>8500</v>
          </cell>
          <cell r="AB122" t="str">
            <v>IVA incluido</v>
          </cell>
          <cell r="AC122" t="str">
            <v>Si tiene IVA</v>
          </cell>
          <cell r="AD122">
            <v>7142.8571428571431</v>
          </cell>
          <cell r="AE122">
            <v>1357.1428571428571</v>
          </cell>
          <cell r="AF122">
            <v>8500</v>
          </cell>
          <cell r="AG122">
            <v>8500</v>
          </cell>
          <cell r="AH122">
            <v>8500</v>
          </cell>
          <cell r="AI122" t="str">
            <v>Sandra Vargas</v>
          </cell>
          <cell r="AJ122">
            <v>46071</v>
          </cell>
          <cell r="AK122" t="str">
            <v>Renovacion libreria y papeleria_Varios 16-02-2026...</v>
          </cell>
          <cell r="AL122" t="str">
            <v>Gestión</v>
          </cell>
          <cell r="AM122" t="str">
            <v>Renovacion libreria y papeleria</v>
          </cell>
          <cell r="AN122">
            <v>7400</v>
          </cell>
          <cell r="AO122" t="str">
            <v>Precio sin Iva</v>
          </cell>
          <cell r="AP122" t="str">
            <v>Si tiene IVA</v>
          </cell>
          <cell r="AQ122">
            <v>7400</v>
          </cell>
          <cell r="AR122">
            <v>1406</v>
          </cell>
          <cell r="AS122">
            <v>8806</v>
          </cell>
          <cell r="AT122">
            <v>7400</v>
          </cell>
          <cell r="AU122">
            <v>8806</v>
          </cell>
          <cell r="AV122">
            <v>8269</v>
          </cell>
          <cell r="AW122">
            <v>8269</v>
          </cell>
          <cell r="AX122">
            <v>683</v>
          </cell>
          <cell r="AY122">
            <v>8.2597653888015501E-2</v>
          </cell>
          <cell r="BA122">
            <v>3</v>
          </cell>
        </row>
        <row r="123">
          <cell r="D123" t="str">
            <v>Colores  Caja x 12 punta sencilla</v>
          </cell>
          <cell r="E123" t="str">
            <v>Caja de lápices de colores x 12 unidades, única punta, de minas suaves, resistentes y fácil de afilar</v>
          </cell>
          <cell r="F123" t="str">
            <v>Unidad</v>
          </cell>
          <cell r="G123">
            <v>1</v>
          </cell>
          <cell r="H123" t="str">
            <v>Compra</v>
          </cell>
          <cell r="I123" t="str">
            <v>Sandra Vargas</v>
          </cell>
          <cell r="J123">
            <v>46071</v>
          </cell>
          <cell r="K123" t="str">
            <v>Renovacion libreria y papeleria_Varios 16-02-2026...</v>
          </cell>
          <cell r="L123" t="str">
            <v>Gestión</v>
          </cell>
          <cell r="M123" t="str">
            <v>Renovacion libreria y papeleria</v>
          </cell>
          <cell r="N123">
            <v>7000</v>
          </cell>
          <cell r="O123" t="str">
            <v>Precio sin Iva</v>
          </cell>
          <cell r="P123" t="str">
            <v>Si tiene IVA</v>
          </cell>
          <cell r="Q123">
            <v>7000</v>
          </cell>
          <cell r="R123">
            <v>1330</v>
          </cell>
          <cell r="S123">
            <v>8330</v>
          </cell>
          <cell r="T123">
            <v>7000</v>
          </cell>
          <cell r="U123">
            <v>8330</v>
          </cell>
          <cell r="V123" t="str">
            <v>Sandra Vargas</v>
          </cell>
          <cell r="W123">
            <v>46071</v>
          </cell>
          <cell r="X123" t="str">
            <v>INVER Y DISTRIBUIDORES DIAMOND_Varios</v>
          </cell>
          <cell r="Y123" t="str">
            <v>Transcripción</v>
          </cell>
          <cell r="Z123" t="str">
            <v>INVER Y DISTRIBUIDORES DIAMOND</v>
          </cell>
          <cell r="AA123">
            <v>7183</v>
          </cell>
          <cell r="AB123" t="str">
            <v>Precio sin Iva</v>
          </cell>
          <cell r="AC123" t="str">
            <v>No tiene IVA</v>
          </cell>
          <cell r="AD123">
            <v>7183</v>
          </cell>
          <cell r="AE123">
            <v>0</v>
          </cell>
          <cell r="AF123">
            <v>7183</v>
          </cell>
          <cell r="AG123">
            <v>7183</v>
          </cell>
          <cell r="AH123">
            <v>7183</v>
          </cell>
          <cell r="AI123" t="str">
            <v>Sandra Vargas</v>
          </cell>
          <cell r="AJ123">
            <v>46071</v>
          </cell>
          <cell r="AK123" t="str">
            <v>Papelería Jonan_Colores x 12 + 3 Lápices - FABER-CASTELL</v>
          </cell>
          <cell r="AL123" t="str">
            <v>Gestión</v>
          </cell>
          <cell r="AM123" t="str">
            <v>Papeleria Jonan</v>
          </cell>
          <cell r="AN123">
            <v>8600</v>
          </cell>
          <cell r="AO123" t="str">
            <v>IVA incluido</v>
          </cell>
          <cell r="AP123" t="str">
            <v>Si tiene IVA</v>
          </cell>
          <cell r="AQ123">
            <v>7226.8907563025214</v>
          </cell>
          <cell r="AR123">
            <v>1373.1092436974791</v>
          </cell>
          <cell r="AS123">
            <v>8600</v>
          </cell>
          <cell r="AT123">
            <v>8600</v>
          </cell>
          <cell r="AU123">
            <v>8600</v>
          </cell>
          <cell r="AV123">
            <v>8038</v>
          </cell>
          <cell r="AW123">
            <v>8038</v>
          </cell>
          <cell r="AX123">
            <v>752</v>
          </cell>
          <cell r="AY123">
            <v>9.3555610848469695E-2</v>
          </cell>
          <cell r="BA123">
            <v>3</v>
          </cell>
          <cell r="BB123" t="str">
            <v>Segundo ítem sin Iva</v>
          </cell>
        </row>
        <row r="124">
          <cell r="D124" t="str">
            <v>Compra Carpa 3 x 3</v>
          </cell>
          <cell r="E124" t="str">
            <v>Compra Carpa 3X3 con laterales. Incluye transporte, y entrega en el lugar requerido.</v>
          </cell>
          <cell r="F124" t="str">
            <v>Unidad</v>
          </cell>
          <cell r="G124">
            <v>1</v>
          </cell>
          <cell r="H124" t="str">
            <v>Compra</v>
          </cell>
          <cell r="I124" t="str">
            <v>Carol López</v>
          </cell>
          <cell r="J124">
            <v>46139</v>
          </cell>
          <cell r="K124" t="str">
            <v>D&amp;R PRODUCCIONES_LOGISTICA_VARIOS_13-03-2026.pdf</v>
          </cell>
          <cell r="L124" t="str">
            <v>Transcripción</v>
          </cell>
          <cell r="M124" t="str">
            <v>D&amp;R PRODUCCIONES SAS</v>
          </cell>
          <cell r="N124">
            <v>1957500</v>
          </cell>
          <cell r="O124" t="str">
            <v>Precio sin Iva</v>
          </cell>
          <cell r="P124" t="str">
            <v>Si tiene IVA</v>
          </cell>
          <cell r="Q124">
            <v>1957500</v>
          </cell>
          <cell r="R124">
            <v>371925</v>
          </cell>
          <cell r="S124">
            <v>2329425</v>
          </cell>
          <cell r="T124">
            <v>1957500</v>
          </cell>
          <cell r="U124">
            <v>2329425</v>
          </cell>
          <cell r="V124" t="str">
            <v>Carol lópez</v>
          </cell>
          <cell r="W124">
            <v>46139</v>
          </cell>
          <cell r="X124" t="str">
            <v>Mundial de carpas y alquileres S.A.S 27-04-2026.pdf</v>
          </cell>
          <cell r="Y124" t="str">
            <v>Gestión</v>
          </cell>
          <cell r="Z124" t="str">
            <v>Mundial de carpas y alquileres S.A.S</v>
          </cell>
          <cell r="AA124">
            <v>1850000</v>
          </cell>
          <cell r="AB124" t="str">
            <v>Precio sin Iva</v>
          </cell>
          <cell r="AC124" t="str">
            <v>Si tiene IVA</v>
          </cell>
          <cell r="AD124">
            <v>1850000</v>
          </cell>
          <cell r="AE124">
            <v>351500</v>
          </cell>
          <cell r="AF124">
            <v>2201500</v>
          </cell>
          <cell r="AG124">
            <v>1850000</v>
          </cell>
          <cell r="AH124">
            <v>2201500</v>
          </cell>
          <cell r="AI124" t="str">
            <v>Luz Jimenez</v>
          </cell>
          <cell r="AJ124">
            <v>46144</v>
          </cell>
          <cell r="AK124" t="str">
            <v>CARPAS EVOLUTION SAS.pdf</v>
          </cell>
          <cell r="AL124" t="str">
            <v>Luz Jimenez</v>
          </cell>
          <cell r="AM124" t="str">
            <v>CARPAS EVOLUTIONS</v>
          </cell>
          <cell r="AN124">
            <v>1100000</v>
          </cell>
          <cell r="AO124" t="str">
            <v>Precio sin Iva</v>
          </cell>
          <cell r="AP124" t="str">
            <v>Si tiene IVA</v>
          </cell>
          <cell r="AQ124">
            <v>1100000</v>
          </cell>
          <cell r="AR124">
            <v>209000</v>
          </cell>
          <cell r="AS124">
            <v>1309000</v>
          </cell>
          <cell r="AT124">
            <v>1100000</v>
          </cell>
          <cell r="AU124">
            <v>1309000</v>
          </cell>
          <cell r="AV124">
            <v>1946642</v>
          </cell>
          <cell r="AW124">
            <v>1946642</v>
          </cell>
          <cell r="AX124">
            <v>555906</v>
          </cell>
          <cell r="AY124">
            <v>0.28557176923132199</v>
          </cell>
          <cell r="BA124">
            <v>3</v>
          </cell>
        </row>
        <row r="125">
          <cell r="D125" t="str">
            <v>Compra Carpa 4 x 4</v>
          </cell>
          <cell r="E125" t="str">
            <v>Compra Carpa 4X4 con laterales. Incluye transporte, instalación y entrega en el lugar requerido, montaje y desmontaje, alquiler por día.</v>
          </cell>
          <cell r="F125" t="str">
            <v>Unidad</v>
          </cell>
          <cell r="G125">
            <v>1</v>
          </cell>
          <cell r="H125" t="str">
            <v>Compra</v>
          </cell>
          <cell r="I125" t="str">
            <v>Luz Jimenez</v>
          </cell>
          <cell r="J125">
            <v>46153</v>
          </cell>
          <cell r="K125" t="str">
            <v>Carpas 4x4 - CALISOMBRAS _ CaliSombras.pdf</v>
          </cell>
          <cell r="L125" t="str">
            <v>Gestión</v>
          </cell>
          <cell r="M125" t="str">
            <v>Cali Sombra</v>
          </cell>
          <cell r="N125">
            <v>1590000</v>
          </cell>
          <cell r="O125" t="str">
            <v>IVA incluido</v>
          </cell>
          <cell r="P125" t="str">
            <v>Si tiene IVA</v>
          </cell>
          <cell r="Q125">
            <v>1336134.45378151</v>
          </cell>
          <cell r="R125">
            <v>253865.5462184874</v>
          </cell>
          <cell r="S125">
            <v>1590000</v>
          </cell>
          <cell r="T125">
            <v>1590000</v>
          </cell>
          <cell r="U125">
            <v>1590000</v>
          </cell>
          <cell r="V125" t="str">
            <v>Luz Jimenez</v>
          </cell>
          <cell r="W125">
            <v>46153</v>
          </cell>
          <cell r="X125" t="str">
            <v>CARPAS EVOLUTION SAS</v>
          </cell>
          <cell r="Y125" t="str">
            <v>Gestión</v>
          </cell>
          <cell r="Z125" t="str">
            <v>CARPAS EVOLUTION SAS</v>
          </cell>
          <cell r="AA125">
            <v>1400000</v>
          </cell>
          <cell r="AB125" t="str">
            <v>Precio sin Iva</v>
          </cell>
          <cell r="AC125" t="str">
            <v>Si tiene IVA</v>
          </cell>
          <cell r="AD125">
            <v>1400000</v>
          </cell>
          <cell r="AE125">
            <v>266000</v>
          </cell>
          <cell r="AF125">
            <v>1666000</v>
          </cell>
          <cell r="AG125">
            <v>1400000</v>
          </cell>
          <cell r="AH125">
            <v>1666000</v>
          </cell>
          <cell r="AI125" t="str">
            <v>Luz Jimenez</v>
          </cell>
          <cell r="AJ125">
            <v>46153</v>
          </cell>
          <cell r="AK125" t="str">
            <v>TOLDOS Y PERGOLAS-Carpas 4x4 .pdf</v>
          </cell>
          <cell r="AL125" t="str">
            <v>Gestión</v>
          </cell>
          <cell r="AM125" t="str">
            <v>TOLDOS Y PERGOLAS</v>
          </cell>
          <cell r="AN125">
            <v>1590000</v>
          </cell>
          <cell r="AO125" t="str">
            <v>IVA incluido</v>
          </cell>
          <cell r="AP125" t="str">
            <v>Si tiene IVA</v>
          </cell>
          <cell r="AQ125">
            <v>1336134.45378151</v>
          </cell>
          <cell r="AR125">
            <v>253865.5462184874</v>
          </cell>
          <cell r="AS125">
            <v>1590000</v>
          </cell>
          <cell r="AT125">
            <v>1590000</v>
          </cell>
          <cell r="AU125">
            <v>1590000</v>
          </cell>
          <cell r="AV125">
            <v>1615333</v>
          </cell>
          <cell r="AW125">
            <v>1615333</v>
          </cell>
          <cell r="AX125">
            <v>43879</v>
          </cell>
          <cell r="AY125">
            <v>2.7164058432533701E-2</v>
          </cell>
        </row>
        <row r="126">
          <cell r="D126" t="str">
            <v>Crayones extra gruesos caja x 18</v>
          </cell>
          <cell r="E126" t="str">
            <v>Caja de 18 crayones de cera extragruesos (tipo jumbo), diseñados para un agarre ergonómico y alta resistencia a la ruptura. Colores intensos de trazo suave, no tóxicos.</v>
          </cell>
          <cell r="F126" t="str">
            <v>Unidad</v>
          </cell>
          <cell r="G126">
            <v>1</v>
          </cell>
          <cell r="H126" t="str">
            <v>Compra</v>
          </cell>
          <cell r="I126" t="str">
            <v>Sandra Vargas</v>
          </cell>
          <cell r="J126">
            <v>46071</v>
          </cell>
          <cell r="K126" t="str">
            <v>Comercializadora tj_Varios</v>
          </cell>
          <cell r="L126" t="str">
            <v>Gestión</v>
          </cell>
          <cell r="M126" t="str">
            <v>Comercializadora Tj</v>
          </cell>
          <cell r="N126">
            <v>8600</v>
          </cell>
          <cell r="O126" t="str">
            <v>Precio sin Iva</v>
          </cell>
          <cell r="P126" t="str">
            <v>Si tiene IVA</v>
          </cell>
          <cell r="Q126">
            <v>8600</v>
          </cell>
          <cell r="R126">
            <v>1634</v>
          </cell>
          <cell r="S126">
            <v>10234</v>
          </cell>
          <cell r="T126">
            <v>8600</v>
          </cell>
          <cell r="U126">
            <v>10234</v>
          </cell>
          <cell r="V126" t="str">
            <v>Sandra Vargas</v>
          </cell>
          <cell r="W126">
            <v>46071</v>
          </cell>
          <cell r="X126" t="str">
            <v>Tienda estudiantil_Varios</v>
          </cell>
          <cell r="Y126" t="str">
            <v>Gestión</v>
          </cell>
          <cell r="Z126" t="str">
            <v>Tienda Estudiantil</v>
          </cell>
          <cell r="AA126">
            <v>10018</v>
          </cell>
          <cell r="AB126" t="str">
            <v>Precio sin Iva</v>
          </cell>
          <cell r="AC126" t="str">
            <v>Si tiene IVA</v>
          </cell>
          <cell r="AD126">
            <v>10018</v>
          </cell>
          <cell r="AE126">
            <v>1903.42</v>
          </cell>
          <cell r="AF126">
            <v>11921.42</v>
          </cell>
          <cell r="AG126">
            <v>10018</v>
          </cell>
          <cell r="AH126">
            <v>11921.42</v>
          </cell>
          <cell r="AI126" t="str">
            <v>Sandra Vargas</v>
          </cell>
          <cell r="AJ126">
            <v>46071</v>
          </cell>
          <cell r="AK126" t="str">
            <v>Renovacion libreria y papeleria_Varios 16-02-2026...</v>
          </cell>
          <cell r="AL126" t="str">
            <v>Gestión</v>
          </cell>
          <cell r="AM126" t="str">
            <v>Renovacion Libreria y Papeleria</v>
          </cell>
          <cell r="AN126">
            <v>8151</v>
          </cell>
          <cell r="AO126" t="str">
            <v>Precio sin Iva</v>
          </cell>
          <cell r="AP126" t="str">
            <v>Si tiene IVA</v>
          </cell>
          <cell r="AQ126">
            <v>8151</v>
          </cell>
          <cell r="AR126">
            <v>1548.69</v>
          </cell>
          <cell r="AS126">
            <v>9699.69</v>
          </cell>
          <cell r="AT126">
            <v>8151</v>
          </cell>
          <cell r="AU126">
            <v>9699.69</v>
          </cell>
          <cell r="AV126">
            <v>10618</v>
          </cell>
          <cell r="AW126">
            <v>10618</v>
          </cell>
          <cell r="AX126">
            <v>1160</v>
          </cell>
          <cell r="AY126">
            <v>0.109248446035035</v>
          </cell>
          <cell r="BA126">
            <v>3</v>
          </cell>
        </row>
        <row r="127">
          <cell r="D127" t="str">
            <v>Cuaderno 100 hojas</v>
          </cell>
          <cell r="E127" t="str">
            <v>Cuaderno argollado de 100 hojas cuadriculadas, gramaje de 60g a 75g. Carátula en cartón rígido plastificado, espiral metálico sencillo o doble</v>
          </cell>
          <cell r="F127" t="str">
            <v>Unidad</v>
          </cell>
          <cell r="G127">
            <v>1</v>
          </cell>
          <cell r="H127" t="str">
            <v>Compra</v>
          </cell>
          <cell r="I127" t="str">
            <v>Sandra Vargas</v>
          </cell>
          <cell r="J127">
            <v>46071</v>
          </cell>
          <cell r="K127" t="str">
            <v>Exito_Cuaderno Cuadriculado 100 hojas Argollado</v>
          </cell>
          <cell r="L127" t="str">
            <v>Gestión</v>
          </cell>
          <cell r="M127" t="str">
            <v>Exito</v>
          </cell>
          <cell r="N127">
            <v>5990</v>
          </cell>
          <cell r="O127" t="str">
            <v>IVA incluido</v>
          </cell>
          <cell r="P127" t="str">
            <v>Si tiene IVA</v>
          </cell>
          <cell r="Q127">
            <v>5033.6134453781506</v>
          </cell>
          <cell r="R127">
            <v>956.38655462184875</v>
          </cell>
          <cell r="S127">
            <v>5990</v>
          </cell>
          <cell r="T127">
            <v>5990</v>
          </cell>
          <cell r="U127">
            <v>5990</v>
          </cell>
          <cell r="V127" t="str">
            <v xml:space="preserve">Sandra Vargas </v>
          </cell>
          <cell r="W127">
            <v>46071</v>
          </cell>
          <cell r="X127" t="str">
            <v>Multiexpress_Cuaderno argollado grande</v>
          </cell>
          <cell r="Y127" t="str">
            <v>Gestión</v>
          </cell>
          <cell r="Z127" t="str">
            <v>Multiexpress</v>
          </cell>
          <cell r="AA127">
            <v>6500</v>
          </cell>
          <cell r="AB127" t="str">
            <v>IVA incluido</v>
          </cell>
          <cell r="AC127" t="str">
            <v>Si tiene IVA</v>
          </cell>
          <cell r="AD127">
            <v>5462.1848739495799</v>
          </cell>
          <cell r="AE127">
            <v>1037.8151260504201</v>
          </cell>
          <cell r="AF127">
            <v>6500</v>
          </cell>
          <cell r="AG127">
            <v>6500</v>
          </cell>
          <cell r="AH127">
            <v>6500</v>
          </cell>
          <cell r="AI127" t="str">
            <v>Sandra Vargas</v>
          </cell>
          <cell r="AJ127">
            <v>46071</v>
          </cell>
          <cell r="AK127" t="str">
            <v>Gran papelera_Varios 11-02-2026</v>
          </cell>
          <cell r="AL127" t="str">
            <v>Gestión</v>
          </cell>
          <cell r="AM127" t="str">
            <v>Gran Papelera</v>
          </cell>
          <cell r="AN127">
            <v>5000</v>
          </cell>
          <cell r="AO127" t="str">
            <v>IVA incluido</v>
          </cell>
          <cell r="AP127" t="str">
            <v>Si tiene IVA</v>
          </cell>
          <cell r="AQ127">
            <v>4201.6806722689071</v>
          </cell>
          <cell r="AR127">
            <v>798.31932773109236</v>
          </cell>
          <cell r="AS127">
            <v>5000</v>
          </cell>
          <cell r="AT127">
            <v>5000</v>
          </cell>
          <cell r="AU127">
            <v>5000</v>
          </cell>
          <cell r="AV127">
            <v>5830</v>
          </cell>
          <cell r="AW127">
            <v>5830</v>
          </cell>
          <cell r="AX127">
            <v>763</v>
          </cell>
          <cell r="AY127">
            <v>0.13087478559176699</v>
          </cell>
          <cell r="BA127">
            <v>3</v>
          </cell>
        </row>
        <row r="128">
          <cell r="D128" t="str">
            <v>Cuaderno 5 materias</v>
          </cell>
          <cell r="E128" t="str">
            <v>Cuaderno argollado de 5 materias con hojas cuadriculadas de alto gramaje. Carátula en cartón rígido plastificado.</v>
          </cell>
          <cell r="F128" t="str">
            <v>Unidad</v>
          </cell>
          <cell r="G128">
            <v>1</v>
          </cell>
          <cell r="H128" t="str">
            <v>Compra</v>
          </cell>
          <cell r="I128" t="str">
            <v>Sandra Vargas</v>
          </cell>
          <cell r="J128">
            <v>46071</v>
          </cell>
          <cell r="K128" t="str">
            <v>Tienda estudiantil_Varios</v>
          </cell>
          <cell r="L128" t="str">
            <v>Gestión</v>
          </cell>
          <cell r="M128" t="str">
            <v>Tienda Estudiantil</v>
          </cell>
          <cell r="N128">
            <v>18890</v>
          </cell>
          <cell r="O128" t="str">
            <v>Precio sin Iva</v>
          </cell>
          <cell r="P128" t="str">
            <v>Precio sin Iva</v>
          </cell>
          <cell r="Q128">
            <v>18890</v>
          </cell>
          <cell r="R128">
            <v>0</v>
          </cell>
          <cell r="S128">
            <v>18890</v>
          </cell>
          <cell r="T128">
            <v>18890</v>
          </cell>
          <cell r="U128">
            <v>18890</v>
          </cell>
          <cell r="V128" t="str">
            <v>Sandra Vargas</v>
          </cell>
          <cell r="W128">
            <v>46071</v>
          </cell>
          <cell r="X128" t="str">
            <v>Papeleria estacion de suba_Varios</v>
          </cell>
          <cell r="Y128" t="str">
            <v>Gestión</v>
          </cell>
          <cell r="Z128" t="str">
            <v>Papeleria la Estacion de Suba</v>
          </cell>
          <cell r="AA128">
            <v>21200</v>
          </cell>
          <cell r="AB128" t="str">
            <v>IVA incluido</v>
          </cell>
          <cell r="AC128" t="str">
            <v>Si tiene IVA</v>
          </cell>
          <cell r="AD128">
            <v>17815.126050420171</v>
          </cell>
          <cell r="AE128">
            <v>3384.8739495798318</v>
          </cell>
          <cell r="AF128">
            <v>21200</v>
          </cell>
          <cell r="AG128">
            <v>21200</v>
          </cell>
          <cell r="AH128">
            <v>21200</v>
          </cell>
          <cell r="AI128" t="str">
            <v>Sandra Vargas</v>
          </cell>
          <cell r="AJ128">
            <v>46071</v>
          </cell>
          <cell r="AK128" t="str">
            <v>Panafargo_cuaderno pasta dura grande cuadriculado argollado 5 o 7 materias</v>
          </cell>
          <cell r="AL128" t="str">
            <v>Gestión</v>
          </cell>
          <cell r="AM128" t="str">
            <v>Panafargo</v>
          </cell>
          <cell r="AN128">
            <v>19900</v>
          </cell>
          <cell r="AO128" t="str">
            <v>IVA incluido</v>
          </cell>
          <cell r="AP128" t="str">
            <v>Si tiene IVA</v>
          </cell>
          <cell r="AQ128">
            <v>16722.689075630249</v>
          </cell>
          <cell r="AR128">
            <v>3177.3109243697481</v>
          </cell>
          <cell r="AS128">
            <v>19900</v>
          </cell>
          <cell r="AT128">
            <v>19900</v>
          </cell>
          <cell r="AU128">
            <v>19900</v>
          </cell>
          <cell r="AV128">
            <v>19997</v>
          </cell>
          <cell r="AW128">
            <v>19997</v>
          </cell>
          <cell r="AX128">
            <v>1158</v>
          </cell>
          <cell r="AY128">
            <v>5.7908686302945399E-2</v>
          </cell>
          <cell r="BA128">
            <v>3</v>
          </cell>
          <cell r="BB128" t="str">
            <v>Primer ítem sin IVA</v>
          </cell>
        </row>
        <row r="129">
          <cell r="D129" t="str">
            <v>Desayuno</v>
          </cell>
          <cell r="E129" t="str">
            <v>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v>
          </cell>
          <cell r="F129" t="str">
            <v>SERVICIO</v>
          </cell>
          <cell r="G129">
            <v>1</v>
          </cell>
          <cell r="Q129" t="str">
            <v> </v>
          </cell>
          <cell r="R129" t="str">
            <v> </v>
          </cell>
          <cell r="S129" t="str">
            <v> </v>
          </cell>
          <cell r="T129" t="str">
            <v> </v>
          </cell>
          <cell r="U129" t="str">
            <v> </v>
          </cell>
          <cell r="V129" t="str">
            <v>OPERADOR LOGÍSTICO</v>
          </cell>
          <cell r="W129" t="str">
            <v>OPERADOR LOGÍSTICO</v>
          </cell>
          <cell r="X129" t="str">
            <v>OPERADOR LOGÍSTICO</v>
          </cell>
          <cell r="Y129" t="str">
            <v>OPERADOR LOGÍSTICO</v>
          </cell>
          <cell r="Z129" t="str">
            <v>Estimación de precios con base en el proceso FDLSUBA-LP-013-2025 (140689) – Contrato 1000 – 2025, indexando el incremento de precios en el mercado con base en el Índice de Precios al Consumidor (IPC) para el mes de marzo de 2026, el cual fue de 5,56%.</v>
          </cell>
          <cell r="AA129" t="str">
            <v>OPERADOR LOGÍSTICO</v>
          </cell>
          <cell r="AB129" t="str">
            <v>OPERADOR LOGÍSTICO</v>
          </cell>
          <cell r="AC129" t="str">
            <v>OPERADOR LOGÍSTICO</v>
          </cell>
          <cell r="AD129" t="str">
            <v>OPERADOR LOGÍSTICO</v>
          </cell>
          <cell r="AE129" t="str">
            <v>OPERADOR LOGÍSTICO</v>
          </cell>
          <cell r="AF129">
            <v>16641.176470588231</v>
          </cell>
          <cell r="AG129">
            <v>3161.823529411764</v>
          </cell>
          <cell r="AH129">
            <v>19803</v>
          </cell>
          <cell r="AI129" t="str">
            <v>OPERADOR LOGÍSTICO</v>
          </cell>
          <cell r="AJ129" t="str">
            <v>OPERADOR LOGÍSTICO</v>
          </cell>
          <cell r="AK129" t="str">
            <v>OPERADOR LOGÍSTICO</v>
          </cell>
          <cell r="AL129" t="str">
            <v>OPERADOR LOGÍSTICO</v>
          </cell>
          <cell r="AM129" t="str">
            <v>FUNCAS</v>
          </cell>
          <cell r="AN129" t="str">
            <v>OPERADOR LOGÍSTICO</v>
          </cell>
          <cell r="AO129" t="str">
            <v>OPERADOR LOGÍSTICO</v>
          </cell>
          <cell r="AP129" t="str">
            <v>OPERADOR LOGÍSTICO</v>
          </cell>
          <cell r="AQ129">
            <v>16395</v>
          </cell>
          <cell r="AR129">
            <v>3115</v>
          </cell>
          <cell r="AS129">
            <v>19510</v>
          </cell>
          <cell r="AT129">
            <v>16395</v>
          </cell>
          <cell r="AU129">
            <v>19510</v>
          </cell>
          <cell r="AV129">
            <v>18076</v>
          </cell>
          <cell r="AW129">
            <v>18076</v>
          </cell>
          <cell r="AX129" t="str">
            <v/>
          </cell>
          <cell r="AY129">
            <v>1.0500000000000001E-2</v>
          </cell>
        </row>
        <row r="130">
          <cell r="D130" t="str">
            <v>Dúo interpretes lenguaje de señas</v>
          </cell>
          <cell r="E130" t="str">
            <v xml:space="preserve">DUO DE INTÉRPRETES DE LENGUAJE DE SEÑAS O SIGNOS: MÍNIMO DE SEIS (6) MESES DE EXPERIENCIA CERTIFICADA. TURNOS DE 25 MINUTOS CADA UNO DURANTE LA DURACIÓN DEL EVENTO (SERVICIO POR EVENTO DE 3 A 4 HORAS) </v>
          </cell>
          <cell r="F130" t="str">
            <v>SERVICIO</v>
          </cell>
          <cell r="G130">
            <v>1</v>
          </cell>
          <cell r="Q130" t="str">
            <v> </v>
          </cell>
          <cell r="R130" t="str">
            <v> </v>
          </cell>
          <cell r="S130" t="str">
            <v> </v>
          </cell>
          <cell r="T130" t="str">
            <v> </v>
          </cell>
          <cell r="U130" t="str">
            <v> </v>
          </cell>
          <cell r="V130" t="str">
            <v>OPERADOR LOGÍSTICO</v>
          </cell>
          <cell r="W130" t="str">
            <v>OPERADOR LOGÍSTICO</v>
          </cell>
          <cell r="X130" t="str">
            <v>OPERADOR LOGÍSTICO</v>
          </cell>
          <cell r="Y130" t="str">
            <v>OPERADOR LOGÍSTICO</v>
          </cell>
          <cell r="Z130" t="str">
            <v>Estimación de precios con base en el proceso FDLSUBA-LP-013-2025 (140689) – Contrato 1000 – 2025, indexando el incremento de precios en el mercado con base en el Índice de Precios al Consumidor (IPC) para el mes de marzo de 2026, el cual fue de 5,56%.</v>
          </cell>
          <cell r="AA130" t="str">
            <v>OPERADOR LOGÍSTICO</v>
          </cell>
          <cell r="AB130" t="str">
            <v>OPERADOR LOGÍSTICO</v>
          </cell>
          <cell r="AC130" t="str">
            <v>OPERADOR LOGÍSTICO</v>
          </cell>
          <cell r="AD130" t="str">
            <v>OPERADOR LOGÍSTICO</v>
          </cell>
          <cell r="AE130" t="str">
            <v>OPERADOR LOGÍSTICO</v>
          </cell>
          <cell r="AF130">
            <v>1191859.66386555</v>
          </cell>
          <cell r="AG130">
            <v>226453.3361344538</v>
          </cell>
          <cell r="AH130">
            <v>1418313</v>
          </cell>
          <cell r="AI130" t="str">
            <v>OPERADOR LOGÍSTICO</v>
          </cell>
          <cell r="AJ130" t="str">
            <v>OPERADOR LOGÍSTICO</v>
          </cell>
          <cell r="AK130" t="str">
            <v>OPERADOR LOGÍSTICO</v>
          </cell>
          <cell r="AL130" t="str">
            <v>OPERADOR LOGÍSTICO</v>
          </cell>
          <cell r="AM130" t="str">
            <v>FUNCAS</v>
          </cell>
          <cell r="AN130" t="str">
            <v>OPERADOR LOGÍSTICO</v>
          </cell>
          <cell r="AO130" t="str">
            <v>OPERADOR LOGÍSTICO</v>
          </cell>
          <cell r="AP130" t="str">
            <v>OPERADOR LOGÍSTICO</v>
          </cell>
          <cell r="AQ130">
            <v>1157309</v>
          </cell>
          <cell r="AR130">
            <v>219889</v>
          </cell>
          <cell r="AS130">
            <v>1377198</v>
          </cell>
          <cell r="AT130">
            <v>1157309</v>
          </cell>
          <cell r="AU130">
            <v>1377198</v>
          </cell>
          <cell r="AV130">
            <v>1284529</v>
          </cell>
          <cell r="AW130">
            <v>1284529</v>
          </cell>
          <cell r="AX130" t="str">
            <v/>
          </cell>
          <cell r="AY130">
            <v>2.0799999999999999E-2</v>
          </cell>
        </row>
        <row r="131">
          <cell r="D131" t="str">
            <v>Dúo interpretes personas sordociegas</v>
          </cell>
          <cell r="E131" t="str">
            <v xml:space="preserve">SERVICIO INTEGRAL DE DÚO DE GUÍAS DE INTERPRETACIÓN PARA PERSONAS SORDOCIEGAS: MÍNIMO DE SEIS (6) MESES DE EXPERIENCIA CERTIFICADA.  TURNOS DE 25 MINUTOS CADA UNO DURANTE LA DURACIÓN DEL EVENTO (SERVICIO POR EVENTO DE 3 A 4 HORAS) </v>
          </cell>
          <cell r="F131" t="str">
            <v>SERVICIO</v>
          </cell>
          <cell r="G131">
            <v>1</v>
          </cell>
          <cell r="Q131" t="str">
            <v> </v>
          </cell>
          <cell r="R131" t="str">
            <v> </v>
          </cell>
          <cell r="S131" t="str">
            <v> </v>
          </cell>
          <cell r="T131" t="str">
            <v> </v>
          </cell>
          <cell r="U131" t="str">
            <v> </v>
          </cell>
          <cell r="V131" t="str">
            <v>OPERADOR LOGÍSTICO</v>
          </cell>
          <cell r="W131" t="str">
            <v>OPERADOR LOGÍSTICO</v>
          </cell>
          <cell r="X131" t="str">
            <v>OPERADOR LOGÍSTICO</v>
          </cell>
          <cell r="Y131" t="str">
            <v>OPERADOR LOGÍSTICO</v>
          </cell>
          <cell r="Z131" t="str">
            <v>Estimación de precios con base en el proceso FDLSUBA-LP-013-2025 (140689) – Contrato 1000 – 2025, indexando el incremento de precios en el mercado con base en el Índice de Precios al Consumidor (IPC) para el mes de marzo de 2026, el cual fue de 5,56%.</v>
          </cell>
          <cell r="AA131" t="str">
            <v>OPERADOR LOGÍSTICO</v>
          </cell>
          <cell r="AB131" t="str">
            <v>OPERADOR LOGÍSTICO</v>
          </cell>
          <cell r="AC131" t="str">
            <v>OPERADOR LOGÍSTICO</v>
          </cell>
          <cell r="AD131" t="str">
            <v>OPERADOR LOGÍSTICO</v>
          </cell>
          <cell r="AE131" t="str">
            <v>OPERADOR LOGÍSTICO</v>
          </cell>
          <cell r="AF131">
            <v>1293627.73109244</v>
          </cell>
          <cell r="AG131">
            <v>245789.268907563</v>
          </cell>
          <cell r="AH131">
            <v>1539417</v>
          </cell>
          <cell r="AI131" t="str">
            <v>OPERADOR LOGÍSTICO</v>
          </cell>
          <cell r="AJ131" t="str">
            <v>OPERADOR LOGÍSTICO</v>
          </cell>
          <cell r="AK131" t="str">
            <v>OPERADOR LOGÍSTICO</v>
          </cell>
          <cell r="AL131" t="str">
            <v>OPERADOR LOGÍSTICO</v>
          </cell>
          <cell r="AM131" t="str">
            <v>FUNCAS</v>
          </cell>
          <cell r="AN131" t="str">
            <v>OPERADOR LOGÍSTICO</v>
          </cell>
          <cell r="AO131" t="str">
            <v>OPERADOR LOGÍSTICO</v>
          </cell>
          <cell r="AP131" t="str">
            <v>OPERADOR LOGÍSTICO</v>
          </cell>
          <cell r="AQ131">
            <v>1256128</v>
          </cell>
          <cell r="AR131">
            <v>238664</v>
          </cell>
          <cell r="AS131">
            <v>1494792</v>
          </cell>
          <cell r="AT131">
            <v>1256128</v>
          </cell>
          <cell r="AU131">
            <v>1494792</v>
          </cell>
          <cell r="AV131">
            <v>1394210</v>
          </cell>
          <cell r="AW131">
            <v>1394210</v>
          </cell>
          <cell r="AX131" t="str">
            <v/>
          </cell>
          <cell r="AY131">
            <v>2.0799999999999999E-2</v>
          </cell>
        </row>
        <row r="132">
          <cell r="D132" t="str">
            <v>Equipo para streaming</v>
          </cell>
          <cell r="E132" t="str">
            <v>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v>
          </cell>
          <cell r="F132" t="str">
            <v>SERVICIO</v>
          </cell>
          <cell r="G132">
            <v>1</v>
          </cell>
          <cell r="Q132" t="str">
            <v> </v>
          </cell>
          <cell r="R132" t="str">
            <v> </v>
          </cell>
          <cell r="S132" t="str">
            <v> </v>
          </cell>
          <cell r="T132" t="str">
            <v> </v>
          </cell>
          <cell r="U132" t="str">
            <v> </v>
          </cell>
          <cell r="V132" t="str">
            <v>OPERADOR LOGÍSTICO</v>
          </cell>
          <cell r="W132" t="str">
            <v>OPERADOR LOGÍSTICO</v>
          </cell>
          <cell r="X132" t="str">
            <v>OPERADOR LOGÍSTICO</v>
          </cell>
          <cell r="Y132" t="str">
            <v>OPERADOR LOGÍSTICO</v>
          </cell>
          <cell r="Z132" t="str">
            <v>Estimación de precios con base en el proceso FDLSUBA-LP-013-2025 (140689) – Contrato 1000 – 2025, indexando el incremento de precios en el mercado con base en el Índice de Precios al Consumidor (IPC) para el mes de marzo de 2026, el cual fue de 5,56%.</v>
          </cell>
          <cell r="AA132" t="str">
            <v>OPERADOR LOGÍSTICO</v>
          </cell>
          <cell r="AB132" t="str">
            <v>OPERADOR LOGÍSTICO</v>
          </cell>
          <cell r="AC132" t="str">
            <v>OPERADOR LOGÍSTICO</v>
          </cell>
          <cell r="AD132" t="str">
            <v>OPERADOR LOGÍSTICO</v>
          </cell>
          <cell r="AE132" t="str">
            <v>OPERADOR LOGÍSTICO</v>
          </cell>
          <cell r="AF132">
            <v>2651329.4117647102</v>
          </cell>
          <cell r="AG132">
            <v>503752.58823529421</v>
          </cell>
          <cell r="AH132">
            <v>3155082</v>
          </cell>
          <cell r="AI132" t="str">
            <v>OPERADOR LOGÍSTICO</v>
          </cell>
          <cell r="AJ132" t="str">
            <v>OPERADOR LOGÍSTICO</v>
          </cell>
          <cell r="AK132" t="str">
            <v>OPERADOR LOGÍSTICO</v>
          </cell>
          <cell r="AL132" t="str">
            <v>OPERADOR LOGÍSTICO</v>
          </cell>
          <cell r="AM132" t="str">
            <v>FUNCAS</v>
          </cell>
          <cell r="AN132" t="str">
            <v>OPERADOR LOGÍSTICO</v>
          </cell>
          <cell r="AO132" t="str">
            <v>OPERADOR LOGÍSTICO</v>
          </cell>
          <cell r="AP132" t="str">
            <v>OPERADOR LOGÍSTICO</v>
          </cell>
          <cell r="AQ132">
            <v>2561913</v>
          </cell>
          <cell r="AR132">
            <v>486764</v>
          </cell>
          <cell r="AS132">
            <v>3048677</v>
          </cell>
          <cell r="AT132">
            <v>2561913</v>
          </cell>
          <cell r="AU132">
            <v>3048677</v>
          </cell>
          <cell r="AV132">
            <v>2850003</v>
          </cell>
          <cell r="AW132">
            <v>2850003</v>
          </cell>
          <cell r="AX132" t="str">
            <v/>
          </cell>
          <cell r="AY132">
            <v>2.4299999999999999E-2</v>
          </cell>
        </row>
        <row r="133">
          <cell r="D133" t="str">
            <v>Escarapela  10 unidades</v>
          </cell>
          <cell r="E133" t="str">
            <v>Escarapela a color, impresión 4x4 tintas full color policromía en propalcote de 200 gr, tamaño 10.5x11.5 cm. Con bolsillo portaescarapela y cordón</v>
          </cell>
          <cell r="F133" t="str">
            <v>Decena</v>
          </cell>
          <cell r="G133">
            <v>1</v>
          </cell>
          <cell r="H133" t="str">
            <v>Compra</v>
          </cell>
          <cell r="I133" t="str">
            <v>Luz Jimenez</v>
          </cell>
          <cell r="J133">
            <v>46153</v>
          </cell>
          <cell r="K133" t="str">
            <v>Nexus_varios 16-02-2026.pdf</v>
          </cell>
          <cell r="L133" t="str">
            <v>Transcripción</v>
          </cell>
          <cell r="M133" t="str">
            <v>NEXUS ESTUDIO GRÁFICOS</v>
          </cell>
          <cell r="N133">
            <v>70000</v>
          </cell>
          <cell r="O133" t="str">
            <v>Precio sin Iva</v>
          </cell>
          <cell r="P133" t="str">
            <v>Si tiene IVA</v>
          </cell>
          <cell r="Q133">
            <v>70000</v>
          </cell>
          <cell r="R133">
            <v>13300</v>
          </cell>
          <cell r="S133">
            <v>83300</v>
          </cell>
          <cell r="T133">
            <v>70000</v>
          </cell>
          <cell r="U133">
            <v>83300</v>
          </cell>
          <cell r="V133" t="str">
            <v>Luz Jimenez</v>
          </cell>
          <cell r="W133">
            <v>46153</v>
          </cell>
          <cell r="X133" t="str">
            <v>SGD_ VARIOS 19-02-2026 SAS.pdf</v>
          </cell>
          <cell r="Y133" t="str">
            <v>Transcripción</v>
          </cell>
          <cell r="Z133" t="str">
            <v>SG DIGITAL S.A.S</v>
          </cell>
          <cell r="AA133">
            <v>70000</v>
          </cell>
          <cell r="AB133" t="str">
            <v>IVA incluido</v>
          </cell>
          <cell r="AC133" t="str">
            <v>Si tiene IVA</v>
          </cell>
          <cell r="AD133">
            <v>58823.529411764714</v>
          </cell>
          <cell r="AE133">
            <v>11176.47058823529</v>
          </cell>
          <cell r="AF133">
            <v>70000</v>
          </cell>
          <cell r="AG133">
            <v>70000</v>
          </cell>
          <cell r="AH133">
            <v>70000</v>
          </cell>
          <cell r="AI133" t="str">
            <v>Luz Jimenez</v>
          </cell>
          <cell r="AJ133">
            <v>46153</v>
          </cell>
          <cell r="AK133" t="str">
            <v>ANGIE PACHÓN _VARIOS 19-02-2026</v>
          </cell>
          <cell r="AL133" t="str">
            <v>Gestión</v>
          </cell>
          <cell r="AM133" t="str">
            <v>Angie Pachon (personalizado INK)</v>
          </cell>
          <cell r="AN133">
            <v>80000</v>
          </cell>
          <cell r="AO133" t="str">
            <v>Precio sin Iva</v>
          </cell>
          <cell r="AP133" t="str">
            <v>No tiene IVA</v>
          </cell>
          <cell r="AQ133">
            <v>80000</v>
          </cell>
          <cell r="AR133">
            <v>0</v>
          </cell>
          <cell r="AS133">
            <v>80000</v>
          </cell>
          <cell r="AT133">
            <v>80000</v>
          </cell>
          <cell r="AU133">
            <v>80000</v>
          </cell>
          <cell r="AV133">
            <v>77767</v>
          </cell>
          <cell r="AW133">
            <v>77767</v>
          </cell>
          <cell r="AX133">
            <v>6926</v>
          </cell>
          <cell r="AY133">
            <v>8.9060912726477801E-2</v>
          </cell>
          <cell r="AZ133" t="str">
            <v>El valor referenciado en estas cotizaciones es unitario para comprar la cantidad de escarapelas total, no se puede tomar como valor unitario dentro del estudio</v>
          </cell>
          <cell r="BA133">
            <v>3</v>
          </cell>
          <cell r="BB133" t="str">
            <v>Tercer ítem sin IVA</v>
          </cell>
        </row>
        <row r="134">
          <cell r="D134" t="str">
            <v>Escarapela 100 unidades</v>
          </cell>
          <cell r="E134" t="str">
            <v>Escarapela a color, impresión 4x4 tintas full color policromía en propalcote de 200 gr, tamaño 10.5x11.5 cm. Con bolsillo portaescarapela y cordón</v>
          </cell>
          <cell r="F134" t="str">
            <v>Unidad</v>
          </cell>
          <cell r="G134">
            <v>1</v>
          </cell>
          <cell r="H134" t="str">
            <v>Compra</v>
          </cell>
          <cell r="I134" t="str">
            <v>Luz Jimenez</v>
          </cell>
          <cell r="J134">
            <v>46153</v>
          </cell>
          <cell r="K134" t="str">
            <v>Inventiva_varios 17-02-2026</v>
          </cell>
          <cell r="L134" t="str">
            <v>Transcripción</v>
          </cell>
          <cell r="M134" t="str">
            <v>INVENTIVA</v>
          </cell>
          <cell r="N134">
            <v>230000</v>
          </cell>
          <cell r="O134" t="str">
            <v>Precio sin Iva</v>
          </cell>
          <cell r="P134" t="str">
            <v>Si tiene IVA</v>
          </cell>
          <cell r="Q134">
            <v>230000</v>
          </cell>
          <cell r="R134">
            <v>43700</v>
          </cell>
          <cell r="S134">
            <v>273700</v>
          </cell>
          <cell r="T134">
            <v>230000</v>
          </cell>
          <cell r="U134">
            <v>273700</v>
          </cell>
          <cell r="V134" t="str">
            <v>Luz Jimenez</v>
          </cell>
          <cell r="W134">
            <v>46153</v>
          </cell>
          <cell r="X134" t="str">
            <v>Cotizacion Publikraft 06-03-2026 varios.pdf</v>
          </cell>
          <cell r="Y134" t="str">
            <v>Transcripción</v>
          </cell>
          <cell r="Z134" t="str">
            <v>Publikraft s</v>
          </cell>
          <cell r="AA134">
            <v>232500</v>
          </cell>
          <cell r="AB134" t="str">
            <v>Precio sin Iva</v>
          </cell>
          <cell r="AC134" t="str">
            <v>Si tiene IVA</v>
          </cell>
          <cell r="AD134">
            <v>232500</v>
          </cell>
          <cell r="AE134">
            <v>44175</v>
          </cell>
          <cell r="AF134">
            <v>276675</v>
          </cell>
          <cell r="AG134">
            <v>232500</v>
          </cell>
          <cell r="AH134">
            <v>276675</v>
          </cell>
          <cell r="AI134" t="str">
            <v>Luz Jimenez</v>
          </cell>
          <cell r="AJ134">
            <v>46153</v>
          </cell>
          <cell r="AK134" t="str">
            <v>Nexus_varios 16-02-2026.pdf</v>
          </cell>
          <cell r="AL134" t="str">
            <v>Transcripción</v>
          </cell>
          <cell r="AM134" t="str">
            <v>NEXUS ESTUDIO GRÁFICOS</v>
          </cell>
          <cell r="AN134">
            <v>200000</v>
          </cell>
          <cell r="AO134" t="str">
            <v>Precio sin Iva</v>
          </cell>
          <cell r="AP134" t="str">
            <v>Si tiene IVA</v>
          </cell>
          <cell r="AQ134">
            <v>200000</v>
          </cell>
          <cell r="AR134">
            <v>38000</v>
          </cell>
          <cell r="AS134">
            <v>238000</v>
          </cell>
          <cell r="AT134">
            <v>200000</v>
          </cell>
          <cell r="AU134">
            <v>238000</v>
          </cell>
          <cell r="AV134">
            <v>262792</v>
          </cell>
          <cell r="AW134">
            <v>262792</v>
          </cell>
          <cell r="AX134">
            <v>21522</v>
          </cell>
          <cell r="AY134">
            <v>8.1897470242625295E-2</v>
          </cell>
          <cell r="AZ134" t="str">
            <v>El valor referenciado en estas cotizaciones es unitario para comprar la cantidad de escarapelas total, no se puede tomar como valor unitario dentro del estudio</v>
          </cell>
          <cell r="BA134">
            <v>3</v>
          </cell>
        </row>
        <row r="135">
          <cell r="D135" t="str">
            <v>Escarapela 50 unidades</v>
          </cell>
          <cell r="E135" t="str">
            <v>Escarapela a color, impresión 4x4 tintas full color policromía en propalcote de 200 gr, tamaño 10.5x11.5 cm. Con bolsillo portaescarapela y cordón</v>
          </cell>
          <cell r="F135" t="str">
            <v>Unidad</v>
          </cell>
          <cell r="G135">
            <v>1</v>
          </cell>
          <cell r="H135" t="str">
            <v>Compra</v>
          </cell>
          <cell r="I135" t="str">
            <v>Luz Jimenez</v>
          </cell>
          <cell r="J135">
            <v>46153</v>
          </cell>
          <cell r="K135" t="str">
            <v>Inventiva_varios 17-02-2026</v>
          </cell>
          <cell r="L135" t="str">
            <v>Transcripción</v>
          </cell>
          <cell r="M135" t="str">
            <v>INVENTIVA</v>
          </cell>
          <cell r="N135">
            <v>120000</v>
          </cell>
          <cell r="O135" t="str">
            <v>Precio sin Iva</v>
          </cell>
          <cell r="P135" t="str">
            <v>Si tiene IVA</v>
          </cell>
          <cell r="Q135">
            <v>120000</v>
          </cell>
          <cell r="R135">
            <v>22800</v>
          </cell>
          <cell r="S135">
            <v>142800</v>
          </cell>
          <cell r="T135">
            <v>120000</v>
          </cell>
          <cell r="U135">
            <v>142800</v>
          </cell>
          <cell r="V135" t="str">
            <v>Luz Jimenez</v>
          </cell>
          <cell r="W135">
            <v>46153</v>
          </cell>
          <cell r="X135" t="str">
            <v>Cotizacion Publikraft 06-03-2026 varios.pdf</v>
          </cell>
          <cell r="Y135" t="str">
            <v>Transcripción</v>
          </cell>
          <cell r="Z135" t="str">
            <v>Publikraft s</v>
          </cell>
          <cell r="AA135">
            <v>108000</v>
          </cell>
          <cell r="AB135" t="str">
            <v>Precio sin Iva</v>
          </cell>
          <cell r="AC135" t="str">
            <v>Si tiene IVA</v>
          </cell>
          <cell r="AD135">
            <v>108000</v>
          </cell>
          <cell r="AE135">
            <v>20520</v>
          </cell>
          <cell r="AF135">
            <v>128520</v>
          </cell>
          <cell r="AG135">
            <v>108000</v>
          </cell>
          <cell r="AH135">
            <v>128520</v>
          </cell>
          <cell r="AI135" t="str">
            <v>Luz Jimenez</v>
          </cell>
          <cell r="AJ135">
            <v>46153</v>
          </cell>
          <cell r="AK135" t="str">
            <v>Maria Conflicto -Vario 19-02-2026</v>
          </cell>
          <cell r="AL135" t="str">
            <v>Transcripción</v>
          </cell>
          <cell r="AM135" t="str">
            <v>Maria Conflicto</v>
          </cell>
          <cell r="AN135">
            <v>150000</v>
          </cell>
          <cell r="AO135" t="str">
            <v>Precio sin Iva</v>
          </cell>
          <cell r="AP135" t="str">
            <v>No tiene IVA</v>
          </cell>
          <cell r="AQ135">
            <v>150000</v>
          </cell>
          <cell r="AR135">
            <v>0</v>
          </cell>
          <cell r="AS135">
            <v>150000</v>
          </cell>
          <cell r="AT135">
            <v>150000</v>
          </cell>
          <cell r="AU135">
            <v>150000</v>
          </cell>
          <cell r="AV135">
            <v>140440</v>
          </cell>
          <cell r="AW135">
            <v>140440</v>
          </cell>
          <cell r="AX135">
            <v>10933</v>
          </cell>
          <cell r="AY135">
            <v>7.7848191398461997E-2</v>
          </cell>
          <cell r="AZ135" t="str">
            <v>El valor referenciado en estas cotizaciones es unitario para comprar la cantidad de escarapelas total, no se puede tomar como valor unitario dentro del estudio</v>
          </cell>
          <cell r="BA135">
            <v>3</v>
          </cell>
          <cell r="BB135" t="str">
            <v>Tercer ítem sin IVA</v>
          </cell>
        </row>
        <row r="136">
          <cell r="D136" t="str">
            <v xml:space="preserve">Esfero cualquier color caja x 10 </v>
          </cell>
          <cell r="E136" t="str">
            <v>Caja de 10 bolígrafos con tinta suave de baja viscosidad en colores variados. Cuerpo ergonómico transparente para control de tinta, punta de tungsteno para trazos precisos y tapa de seguridad ventilada.</v>
          </cell>
          <cell r="F136" t="str">
            <v>Unidad</v>
          </cell>
          <cell r="G136">
            <v>1</v>
          </cell>
          <cell r="H136" t="str">
            <v>Compra</v>
          </cell>
          <cell r="I136" t="str">
            <v>Luz Jimenez</v>
          </cell>
          <cell r="J136">
            <v>46139</v>
          </cell>
          <cell r="K136" t="str">
            <v>Guerra Editores_ Varios</v>
          </cell>
          <cell r="L136" t="str">
            <v>Transcripción</v>
          </cell>
          <cell r="M136" t="str">
            <v>GUERRA EDITORES</v>
          </cell>
          <cell r="N136">
            <v>6435</v>
          </cell>
          <cell r="O136" t="str">
            <v>IVA incluido</v>
          </cell>
          <cell r="P136" t="str">
            <v>Si tiene IVA</v>
          </cell>
          <cell r="Q136">
            <v>5407.5630252100846</v>
          </cell>
          <cell r="R136">
            <v>1027.4369747899159</v>
          </cell>
          <cell r="S136">
            <v>6435.0000000000009</v>
          </cell>
          <cell r="T136">
            <v>6435</v>
          </cell>
          <cell r="U136">
            <v>6435.0000000000009</v>
          </cell>
          <cell r="V136" t="str">
            <v>Luz Jimenez</v>
          </cell>
          <cell r="W136">
            <v>46139</v>
          </cell>
          <cell r="X136" t="str">
            <v>Tienda estudiantil_Varios</v>
          </cell>
          <cell r="Y136" t="str">
            <v>Gestión</v>
          </cell>
          <cell r="Z136" t="str">
            <v>LIBRERIA Y PAPELERIA TIENDA ESTUDIANTIL LTDA</v>
          </cell>
          <cell r="AA136">
            <v>5508</v>
          </cell>
          <cell r="AB136" t="str">
            <v>IVA incluido</v>
          </cell>
          <cell r="AC136" t="str">
            <v>Si tiene IVA</v>
          </cell>
          <cell r="AD136">
            <v>4628.5714285714284</v>
          </cell>
          <cell r="AE136">
            <v>879.42857142857144</v>
          </cell>
          <cell r="AF136">
            <v>5508</v>
          </cell>
          <cell r="AG136">
            <v>5508</v>
          </cell>
          <cell r="AH136">
            <v>5508</v>
          </cell>
          <cell r="AI136" t="str">
            <v>Luz Jimenez</v>
          </cell>
          <cell r="AJ136">
            <v>46139</v>
          </cell>
          <cell r="AK136" t="str">
            <v>ENTRERPRISE SSR_Varios</v>
          </cell>
          <cell r="AL136" t="str">
            <v>Gestión</v>
          </cell>
          <cell r="AM136" t="str">
            <v>ENTREPRISE</v>
          </cell>
          <cell r="AN136">
            <v>5913</v>
          </cell>
          <cell r="AO136" t="str">
            <v>IVA incluido</v>
          </cell>
          <cell r="AP136" t="str">
            <v>Si tiene IVA</v>
          </cell>
          <cell r="AQ136">
            <v>4968.90756302521</v>
          </cell>
          <cell r="AR136">
            <v>944.09243697478996</v>
          </cell>
          <cell r="AS136">
            <v>5913</v>
          </cell>
          <cell r="AT136">
            <v>5913</v>
          </cell>
          <cell r="AU136">
            <v>5913</v>
          </cell>
          <cell r="AV136">
            <v>5952</v>
          </cell>
          <cell r="AW136">
            <v>5952</v>
          </cell>
          <cell r="AX136">
            <v>465</v>
          </cell>
          <cell r="AY136">
            <v>7.8125E-2</v>
          </cell>
          <cell r="BA136">
            <v>3</v>
          </cell>
        </row>
        <row r="137">
          <cell r="D137" t="str">
            <v>Estación de café tipo 1</v>
          </cell>
          <cell r="E137" t="str">
            <v>Servicio de cafetería para 50 personas (tinto, aromática y agua): Operario + presentación mesa + vasos de cartón bebida caliente 4 oz. + mezclador + azúcar + crema para café. Duración del evento aprox. 6 horas. Transporte incluido</v>
          </cell>
          <cell r="F137" t="str">
            <v>SERVICIO</v>
          </cell>
          <cell r="G137">
            <v>1</v>
          </cell>
          <cell r="Q137" t="str">
            <v> </v>
          </cell>
          <cell r="R137" t="str">
            <v> </v>
          </cell>
          <cell r="S137" t="str">
            <v> </v>
          </cell>
          <cell r="T137" t="str">
            <v> </v>
          </cell>
          <cell r="U137" t="str">
            <v> </v>
          </cell>
          <cell r="V137" t="str">
            <v>OPERADOR LOGÍSTICO</v>
          </cell>
          <cell r="W137" t="str">
            <v>OPERADOR LOGÍSTICO</v>
          </cell>
          <cell r="X137" t="str">
            <v>OPERADOR LOGÍSTICO</v>
          </cell>
          <cell r="Y137" t="str">
            <v>OPERADOR LOGÍSTICO</v>
          </cell>
          <cell r="Z137" t="str">
            <v>Estimación de precios con base en el proceso FDLSUBA-LP-013-2025 (140689) – Contrato 1000 – 2025, indexando el incremento de precios en el mercado con base en el Índice de Precios al Consumidor (IPC) para el mes de marzo de 2026, el cual fue de 5,56%.</v>
          </cell>
          <cell r="AA137" t="str">
            <v>OPERADOR LOGÍSTICO</v>
          </cell>
          <cell r="AB137" t="str">
            <v>OPERADOR LOGÍSTICO</v>
          </cell>
          <cell r="AC137" t="str">
            <v>OPERADOR LOGÍSTICO</v>
          </cell>
          <cell r="AD137" t="str">
            <v>OPERADOR LOGÍSTICO</v>
          </cell>
          <cell r="AE137" t="str">
            <v>OPERADOR LOGÍSTICO</v>
          </cell>
          <cell r="AF137">
            <v>432995.7983193277</v>
          </cell>
          <cell r="AG137">
            <v>82269.201680672282</v>
          </cell>
          <cell r="AH137">
            <v>515265</v>
          </cell>
          <cell r="AI137" t="str">
            <v>OPERADOR LOGÍSTICO</v>
          </cell>
          <cell r="AJ137" t="str">
            <v>OPERADOR LOGÍSTICO</v>
          </cell>
          <cell r="AK137" t="str">
            <v>OPERADOR LOGÍSTICO</v>
          </cell>
          <cell r="AL137" t="str">
            <v>OPERADOR LOGÍSTICO</v>
          </cell>
          <cell r="AM137" t="str">
            <v>FUNCAS</v>
          </cell>
          <cell r="AN137" t="str">
            <v>OPERADOR LOGÍSTICO</v>
          </cell>
          <cell r="AO137" t="str">
            <v>OPERADOR LOGÍSTICO</v>
          </cell>
          <cell r="AP137" t="str">
            <v>OPERADOR LOGÍSTICO</v>
          </cell>
          <cell r="AQ137">
            <v>426597</v>
          </cell>
          <cell r="AR137">
            <v>81053</v>
          </cell>
          <cell r="AS137">
            <v>507650</v>
          </cell>
          <cell r="AT137">
            <v>426597</v>
          </cell>
          <cell r="AU137">
            <v>507650</v>
          </cell>
          <cell r="AV137">
            <v>470323</v>
          </cell>
          <cell r="AW137">
            <v>470323</v>
          </cell>
          <cell r="AX137" t="str">
            <v/>
          </cell>
          <cell r="AY137">
            <v>1.0500000000000001E-2</v>
          </cell>
        </row>
        <row r="138">
          <cell r="D138" t="str">
            <v>Estación de café tipo 2</v>
          </cell>
          <cell r="E138" t="str">
            <v>Servicio de cafetería para 100 personas (tinto, aromática y agua): Operarios + presentación de mesas + vasos de cartón bebida caliente 4 oz. + mezclador + azúcar + crema para café. Incluye galletas tipo avena o integrales. Duración del evento aprox. 6 horas. Transporte incluido.</v>
          </cell>
          <cell r="F138" t="str">
            <v>Servicio</v>
          </cell>
          <cell r="G138">
            <v>1</v>
          </cell>
          <cell r="H138" t="str">
            <v>Compra</v>
          </cell>
          <cell r="I138" t="str">
            <v>Luz Jimenez</v>
          </cell>
          <cell r="J138">
            <v>46119</v>
          </cell>
          <cell r="K138" t="str">
            <v>LOGISTBOX L&amp;L SAS.pdf</v>
          </cell>
          <cell r="L138" t="str">
            <v>Gestión</v>
          </cell>
          <cell r="M138" t="str">
            <v>LOGISTBOX L&amp;L SAS</v>
          </cell>
          <cell r="N138">
            <v>766800</v>
          </cell>
          <cell r="O138" t="str">
            <v>Precio sin Ipoconsumo</v>
          </cell>
          <cell r="P138" t="str">
            <v>Si tiene IPOCONSUMO</v>
          </cell>
          <cell r="Q138">
            <v>766800</v>
          </cell>
          <cell r="R138">
            <v>0</v>
          </cell>
          <cell r="S138">
            <v>766800</v>
          </cell>
          <cell r="T138">
            <v>766800</v>
          </cell>
          <cell r="U138">
            <v>766800</v>
          </cell>
          <cell r="V138" t="str">
            <v>Luz Jimenez</v>
          </cell>
          <cell r="W138">
            <v>46094</v>
          </cell>
          <cell r="X138" t="str">
            <v>D&amp;R PRODUCCIONES_LOGISTICA_VARIOS_13-03-2026.pdf</v>
          </cell>
          <cell r="Y138" t="str">
            <v>Gestión</v>
          </cell>
          <cell r="Z138" t="str">
            <v>D&amp;R PRODUCCIONES SAS</v>
          </cell>
          <cell r="AA138">
            <v>1282500</v>
          </cell>
          <cell r="AB138" t="str">
            <v>Precio sin Ipoconsumo</v>
          </cell>
          <cell r="AC138" t="str">
            <v>Si tiene IPOCONSUMO</v>
          </cell>
          <cell r="AD138">
            <v>1282500</v>
          </cell>
          <cell r="AE138">
            <v>0</v>
          </cell>
          <cell r="AF138">
            <v>1282500</v>
          </cell>
          <cell r="AG138">
            <v>1282500</v>
          </cell>
          <cell r="AH138">
            <v>1282500</v>
          </cell>
          <cell r="AI138" t="str">
            <v>OPERADOR LOGÍSTICO - JUAN CAMILO</v>
          </cell>
          <cell r="AL138" t="str">
            <v>Gestión</v>
          </cell>
          <cell r="AM138" t="str">
            <v>IMAGROUP COLOMBIA S.A.S</v>
          </cell>
          <cell r="AN138">
            <v>1200000</v>
          </cell>
          <cell r="AO138" t="str">
            <v>Precio sin Iva</v>
          </cell>
          <cell r="AP138" t="str">
            <v>Si tiene IVA</v>
          </cell>
          <cell r="AQ138">
            <v>1200000</v>
          </cell>
          <cell r="AR138">
            <v>228000</v>
          </cell>
          <cell r="AS138">
            <v>1428000</v>
          </cell>
          <cell r="AT138">
            <v>1200000</v>
          </cell>
          <cell r="AU138">
            <v>1428000</v>
          </cell>
          <cell r="AV138">
            <v>1159100</v>
          </cell>
          <cell r="AW138">
            <v>1159100</v>
          </cell>
          <cell r="AX138">
            <v>347444</v>
          </cell>
          <cell r="AY138">
            <v>0.299753256837201</v>
          </cell>
          <cell r="AZ138" t="str">
            <v>Se dejan solo dos cotizaciones en el calculo del elemento</v>
          </cell>
          <cell r="BA138">
            <v>3</v>
          </cell>
          <cell r="BB138" t="str">
            <v>Primer ítem sin IVA  // Segundo ítem sin IVA</v>
          </cell>
        </row>
        <row r="139">
          <cell r="D139" t="str">
            <v>Estación de café tipo 3</v>
          </cell>
          <cell r="E139" t="str">
            <v>Servicio de cafetería para 50 personas (tinto, aromática y agua): Operario + presentación mesa + vasos de cartón bebida caliente 4 oz. + mezclador + azúcar + crema para café). Incluye galletas tipo avena o integrales. Duración del evento aprox. 6 horas. Transporte incluido.</v>
          </cell>
          <cell r="F139" t="str">
            <v>Servicio</v>
          </cell>
          <cell r="G139">
            <v>1</v>
          </cell>
          <cell r="H139" t="str">
            <v>Compra</v>
          </cell>
          <cell r="I139" t="str">
            <v>Luz Jimenez</v>
          </cell>
          <cell r="J139">
            <v>46134</v>
          </cell>
          <cell r="K139" t="str">
            <v>D&amp;R PRODUCCIONES_LOGISTICA_VARIOS_13-03-2026</v>
          </cell>
          <cell r="L139" t="str">
            <v>Gestión</v>
          </cell>
          <cell r="M139" t="str">
            <v>D&amp;R PRODUCCIONES SAS</v>
          </cell>
          <cell r="N139">
            <v>641250</v>
          </cell>
          <cell r="O139" t="str">
            <v>Precio sin Iva</v>
          </cell>
          <cell r="P139" t="str">
            <v>Si tiene IPOCONSUMO</v>
          </cell>
          <cell r="Q139">
            <v>641250</v>
          </cell>
          <cell r="R139">
            <v>51300</v>
          </cell>
          <cell r="S139">
            <v>692550</v>
          </cell>
          <cell r="T139">
            <v>641250</v>
          </cell>
          <cell r="U139">
            <v>692550</v>
          </cell>
          <cell r="V139" t="str">
            <v>Luz Jimenez</v>
          </cell>
          <cell r="W139">
            <v>46134</v>
          </cell>
          <cell r="X139" t="str">
            <v>LOGISTBOX L&amp;L SAS.pdf</v>
          </cell>
          <cell r="Y139" t="str">
            <v>Gestión</v>
          </cell>
          <cell r="Z139" t="str">
            <v>LOGISTBOX L&amp;L SAS</v>
          </cell>
          <cell r="AA139">
            <v>588000</v>
          </cell>
          <cell r="AB139" t="str">
            <v>Ipoconsumo Incluido</v>
          </cell>
          <cell r="AC139" t="str">
            <v>Si tiene IPOCONSUMO</v>
          </cell>
          <cell r="AD139">
            <v>544444.44444444426</v>
          </cell>
          <cell r="AE139">
            <v>43555.555555555547</v>
          </cell>
          <cell r="AF139">
            <v>587999.99999999988</v>
          </cell>
          <cell r="AG139">
            <v>544444.44444444426</v>
          </cell>
          <cell r="AH139">
            <v>587999.99999999988</v>
          </cell>
          <cell r="AR139">
            <v>0</v>
          </cell>
          <cell r="AS139">
            <v>0</v>
          </cell>
          <cell r="AT139">
            <v>0</v>
          </cell>
          <cell r="AU139">
            <v>0</v>
          </cell>
          <cell r="AV139">
            <v>426850</v>
          </cell>
          <cell r="AW139">
            <v>426850</v>
          </cell>
          <cell r="AX139">
            <v>373341</v>
          </cell>
          <cell r="AY139">
            <v>0.87464214595291101</v>
          </cell>
          <cell r="AZ139" t="str">
            <v>Se dejan solo dos cotizaciones en el calculo del elemento</v>
          </cell>
          <cell r="BA139">
            <v>2</v>
          </cell>
          <cell r="BB139" t="str">
            <v>Tercer ítem sin IVA</v>
          </cell>
        </row>
        <row r="140">
          <cell r="D140" t="str">
            <v>Globos de colores paquetes x 50 unidades</v>
          </cell>
          <cell r="E140" t="str">
            <v>Paquete de globos fabricados en látex natural de alta calidad, biodegradables y de gran elasticidad, tamaño R12 x 50 unidades</v>
          </cell>
          <cell r="F140" t="str">
            <v>Unidad</v>
          </cell>
          <cell r="G140">
            <v>1</v>
          </cell>
          <cell r="H140" t="str">
            <v>Compra</v>
          </cell>
          <cell r="I140" t="str">
            <v>Sandra Vargas</v>
          </cell>
          <cell r="J140">
            <v>46071</v>
          </cell>
          <cell r="K140" t="str">
            <v>Papeleria estacion de suba_Varios</v>
          </cell>
          <cell r="L140" t="str">
            <v>Gestión</v>
          </cell>
          <cell r="M140" t="str">
            <v>Papeleria  la Estacion de Suba</v>
          </cell>
          <cell r="N140">
            <v>13800</v>
          </cell>
          <cell r="O140" t="str">
            <v>IVA incluido</v>
          </cell>
          <cell r="P140" t="str">
            <v>Si tiene IVA</v>
          </cell>
          <cell r="Q140">
            <v>11596.638655462189</v>
          </cell>
          <cell r="R140">
            <v>2203.3613445378151</v>
          </cell>
          <cell r="S140">
            <v>13800</v>
          </cell>
          <cell r="T140">
            <v>13800</v>
          </cell>
          <cell r="U140">
            <v>13800</v>
          </cell>
          <cell r="V140" t="str">
            <v>Sandra Vargas</v>
          </cell>
          <cell r="W140">
            <v>46071</v>
          </cell>
          <cell r="X140" t="str">
            <v>Renovacion libreria y papeleria_Varios 16-02-2026...</v>
          </cell>
          <cell r="Y140" t="str">
            <v>Gestión</v>
          </cell>
          <cell r="Z140" t="str">
            <v>Renovacion Libreria y papeleria</v>
          </cell>
          <cell r="AA140">
            <v>10504</v>
          </cell>
          <cell r="AB140" t="str">
            <v>Precio sin Iva</v>
          </cell>
          <cell r="AC140" t="str">
            <v>Si tiene IVA</v>
          </cell>
          <cell r="AD140">
            <v>10504</v>
          </cell>
          <cell r="AE140">
            <v>1995.76</v>
          </cell>
          <cell r="AF140">
            <v>12499.76</v>
          </cell>
          <cell r="AG140">
            <v>10504</v>
          </cell>
          <cell r="AH140">
            <v>12499.76</v>
          </cell>
          <cell r="AI140" t="str">
            <v>Sandra Vargas</v>
          </cell>
          <cell r="AJ140">
            <v>46071</v>
          </cell>
          <cell r="AK140" t="str">
            <v>Comercializadora tj_Varios</v>
          </cell>
          <cell r="AL140" t="str">
            <v>Gestión</v>
          </cell>
          <cell r="AM140" t="str">
            <v>Comercializadora Tj</v>
          </cell>
          <cell r="AN140">
            <v>8926</v>
          </cell>
          <cell r="AO140" t="str">
            <v>Precio sin Iva</v>
          </cell>
          <cell r="AP140" t="str">
            <v>Si tiene IVA</v>
          </cell>
          <cell r="AQ140">
            <v>8926</v>
          </cell>
          <cell r="AR140">
            <v>1695.94</v>
          </cell>
          <cell r="AS140">
            <v>10621.94</v>
          </cell>
          <cell r="AT140">
            <v>8926</v>
          </cell>
          <cell r="AU140">
            <v>10621.94</v>
          </cell>
          <cell r="AV140">
            <v>12307</v>
          </cell>
          <cell r="AW140">
            <v>12307</v>
          </cell>
          <cell r="AX140">
            <v>1598</v>
          </cell>
          <cell r="AY140">
            <v>0.12984480377021199</v>
          </cell>
          <cell r="BA140">
            <v>3</v>
          </cell>
        </row>
        <row r="141">
          <cell r="D141" t="str">
            <v>Gorra tela</v>
          </cell>
          <cell r="E141" t="str">
            <v xml:space="preserve">Gorra de seis (6) paneles en dril con cierre de velcro, botón forrado, en dril liviano y víscera rígida, en plástico de polietileno. cierre en plástico o velcro. </v>
          </cell>
          <cell r="F141" t="str">
            <v>Unidad</v>
          </cell>
          <cell r="G141">
            <v>1</v>
          </cell>
          <cell r="H141" t="str">
            <v>Compra</v>
          </cell>
          <cell r="I141" t="str">
            <v>Carol López</v>
          </cell>
          <cell r="J141">
            <v>46070</v>
          </cell>
          <cell r="K141" t="str">
            <v>Dicoes _ varios 12-02-2026</v>
          </cell>
          <cell r="L141" t="str">
            <v>Gestión</v>
          </cell>
          <cell r="M141" t="str">
            <v>DICOES GRUPÓ PUBLICITARIO SAS</v>
          </cell>
          <cell r="N141">
            <v>28000</v>
          </cell>
          <cell r="O141" t="str">
            <v>Precio sin Iva</v>
          </cell>
          <cell r="P141" t="str">
            <v>Si tiene IVA</v>
          </cell>
          <cell r="Q141">
            <v>28000</v>
          </cell>
          <cell r="R141">
            <v>5320</v>
          </cell>
          <cell r="S141">
            <v>33320</v>
          </cell>
          <cell r="T141">
            <v>28000</v>
          </cell>
          <cell r="U141">
            <v>33320</v>
          </cell>
          <cell r="V141" t="str">
            <v>Carol López</v>
          </cell>
          <cell r="W141">
            <v>46071</v>
          </cell>
          <cell r="X141" t="str">
            <v>SGD_ VARIOS 19-02-2026 SAS.pdf</v>
          </cell>
          <cell r="Y141" t="str">
            <v>Gestión</v>
          </cell>
          <cell r="Z141" t="str">
            <v>SG DIGITAL S.A.S</v>
          </cell>
          <cell r="AA141">
            <v>25000</v>
          </cell>
          <cell r="AB141" t="str">
            <v>Precio sin Iva</v>
          </cell>
          <cell r="AC141" t="str">
            <v>No tiene IVA</v>
          </cell>
          <cell r="AD141">
            <v>25000</v>
          </cell>
          <cell r="AE141">
            <v>0</v>
          </cell>
          <cell r="AF141">
            <v>25000</v>
          </cell>
          <cell r="AG141">
            <v>25000</v>
          </cell>
          <cell r="AH141">
            <v>25000</v>
          </cell>
          <cell r="AI141" t="str">
            <v>Carol López</v>
          </cell>
          <cell r="AJ141">
            <v>46071</v>
          </cell>
          <cell r="AK141" t="str">
            <v>ANGIE PACHÓN _VARIOS 19-02-2026.pdf</v>
          </cell>
          <cell r="AL141" t="str">
            <v>Gestión</v>
          </cell>
          <cell r="AM141" t="str">
            <v>Angie Pachon (personalizado INK)</v>
          </cell>
          <cell r="AN141">
            <v>25000</v>
          </cell>
          <cell r="AO141" t="str">
            <v>Precio sin Iva</v>
          </cell>
          <cell r="AP141" t="str">
            <v>No tiene IVA</v>
          </cell>
          <cell r="AQ141">
            <v>25000</v>
          </cell>
          <cell r="AR141">
            <v>0</v>
          </cell>
          <cell r="AS141">
            <v>25000</v>
          </cell>
          <cell r="AT141">
            <v>25000</v>
          </cell>
          <cell r="AU141">
            <v>25000</v>
          </cell>
          <cell r="AV141">
            <v>27773</v>
          </cell>
          <cell r="AW141">
            <v>27773</v>
          </cell>
          <cell r="AX141">
            <v>4804</v>
          </cell>
          <cell r="AY141">
            <v>0.17297375148525501</v>
          </cell>
          <cell r="BA141">
            <v>3</v>
          </cell>
          <cell r="BB141" t="str">
            <v>Segundo ítem sin Iva// Tercer ítem sin IVA</v>
          </cell>
        </row>
        <row r="142">
          <cell r="D142" t="str">
            <v>Gorra tela bordada con logo</v>
          </cell>
          <cell r="E142" t="str">
            <v>Gorra de seis (6) paneles en dril con cierre de velcro, botón forrado, en dril liviano y víscera rígida, en plástico de polietileno. cierre en plástico o velcro. bordado 1 uno al frente. Logo impreso aprobado por Oficina de Prensa del FDLS.</v>
          </cell>
          <cell r="F142" t="str">
            <v>Unidad</v>
          </cell>
          <cell r="G142">
            <v>1</v>
          </cell>
          <cell r="H142" t="str">
            <v>Compra</v>
          </cell>
          <cell r="I142" t="str">
            <v>Carol López</v>
          </cell>
          <cell r="J142">
            <v>46072</v>
          </cell>
          <cell r="K142" t="str">
            <v>Inventiva_varios 17-02-2026.pdf</v>
          </cell>
          <cell r="L142" t="str">
            <v>Gestión</v>
          </cell>
          <cell r="M142" t="str">
            <v>INVENTIVA</v>
          </cell>
          <cell r="N142">
            <v>18000</v>
          </cell>
          <cell r="O142" t="str">
            <v>Precio sin Iva</v>
          </cell>
          <cell r="P142" t="str">
            <v>Si tiene IVA</v>
          </cell>
          <cell r="Q142">
            <v>18000</v>
          </cell>
          <cell r="R142">
            <v>3420</v>
          </cell>
          <cell r="S142">
            <v>21420</v>
          </cell>
          <cell r="T142">
            <v>18000</v>
          </cell>
          <cell r="U142">
            <v>21420</v>
          </cell>
          <cell r="V142" t="str">
            <v>Carol López</v>
          </cell>
          <cell r="W142">
            <v>46072</v>
          </cell>
          <cell r="X142" t="str">
            <v>SGD_ VARIOS 19-02-2026 SAS.pdf</v>
          </cell>
          <cell r="Y142" t="str">
            <v>Gestión</v>
          </cell>
          <cell r="Z142" t="str">
            <v>SG DIGITAL S.A.S</v>
          </cell>
          <cell r="AA142">
            <v>20500</v>
          </cell>
          <cell r="AB142" t="str">
            <v>IVA incluido</v>
          </cell>
          <cell r="AC142" t="str">
            <v>Si tiene IVA</v>
          </cell>
          <cell r="AD142">
            <v>17226.89075630252</v>
          </cell>
          <cell r="AE142">
            <v>3273.10924369748</v>
          </cell>
          <cell r="AF142">
            <v>20500</v>
          </cell>
          <cell r="AG142">
            <v>20500</v>
          </cell>
          <cell r="AH142">
            <v>20500</v>
          </cell>
          <cell r="AI142" t="str">
            <v>Carol López</v>
          </cell>
          <cell r="AJ142">
            <v>46072</v>
          </cell>
          <cell r="AK142" t="str">
            <v>ANGIE PACHÓN _VARIOS 19-02-2026.pdf</v>
          </cell>
          <cell r="AL142" t="str">
            <v>Gestión</v>
          </cell>
          <cell r="AM142" t="str">
            <v>Angie Pachon (personalizado INK)</v>
          </cell>
          <cell r="AN142">
            <v>25000</v>
          </cell>
          <cell r="AO142" t="str">
            <v>Precio sin Iva</v>
          </cell>
          <cell r="AP142" t="str">
            <v>No tiene IVA</v>
          </cell>
          <cell r="AQ142">
            <v>25000</v>
          </cell>
          <cell r="AR142">
            <v>0</v>
          </cell>
          <cell r="AS142">
            <v>25000</v>
          </cell>
          <cell r="AT142">
            <v>25000</v>
          </cell>
          <cell r="AU142">
            <v>25000</v>
          </cell>
          <cell r="AV142">
            <v>22307</v>
          </cell>
          <cell r="AW142">
            <v>22307</v>
          </cell>
          <cell r="AX142">
            <v>2377</v>
          </cell>
          <cell r="AY142">
            <v>0.106558479401085</v>
          </cell>
          <cell r="BA142">
            <v>3</v>
          </cell>
          <cell r="BB142" t="str">
            <v>Tercer ítem sin IVA</v>
          </cell>
        </row>
        <row r="143">
          <cell r="D143" t="str">
            <v>Gorra tela bordada institucional FDLS</v>
          </cell>
          <cell r="E143" t="str">
            <v>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v>
          </cell>
          <cell r="F143" t="str">
            <v>Unidad</v>
          </cell>
          <cell r="G143">
            <v>1</v>
          </cell>
          <cell r="H143" t="str">
            <v>Compra</v>
          </cell>
          <cell r="I143" t="str">
            <v>Luz Jimenez</v>
          </cell>
          <cell r="J143">
            <v>46153</v>
          </cell>
          <cell r="K143" t="str">
            <v>Maria Conflicto -Vario 19-02-2026.pdf</v>
          </cell>
          <cell r="L143" t="str">
            <v>Transcripción</v>
          </cell>
          <cell r="M143" t="str">
            <v>MARIA CONFLICTO</v>
          </cell>
          <cell r="N143">
            <v>15000</v>
          </cell>
          <cell r="O143" t="str">
            <v>Precio sin Iva</v>
          </cell>
          <cell r="P143" t="str">
            <v>No tiene IVA</v>
          </cell>
          <cell r="Q143">
            <v>15000</v>
          </cell>
          <cell r="R143">
            <v>0</v>
          </cell>
          <cell r="S143">
            <v>15000</v>
          </cell>
          <cell r="T143">
            <v>15000</v>
          </cell>
          <cell r="U143">
            <v>15000</v>
          </cell>
          <cell r="V143" t="str">
            <v>sandra vargas</v>
          </cell>
          <cell r="W143">
            <v>46147</v>
          </cell>
          <cell r="X143" t="str">
            <v>Inventiva_varios 17-02-2026.pdf</v>
          </cell>
          <cell r="Y143" t="str">
            <v>Transcripción</v>
          </cell>
          <cell r="Z143" t="str">
            <v>INVENTIVA</v>
          </cell>
          <cell r="AA143">
            <v>15000</v>
          </cell>
          <cell r="AB143" t="str">
            <v>Precio sin Iva</v>
          </cell>
          <cell r="AC143" t="str">
            <v>Si tiene IVA</v>
          </cell>
          <cell r="AD143">
            <v>15000</v>
          </cell>
          <cell r="AE143">
            <v>2850</v>
          </cell>
          <cell r="AF143">
            <v>17850</v>
          </cell>
          <cell r="AG143">
            <v>15000</v>
          </cell>
          <cell r="AH143">
            <v>17850</v>
          </cell>
          <cell r="AI143" t="str">
            <v>Sandra Vargas</v>
          </cell>
          <cell r="AJ143">
            <v>46147</v>
          </cell>
          <cell r="AK143" t="str">
            <v>JEGAR PUBLICIDAD MISIONES</v>
          </cell>
          <cell r="AL143" t="str">
            <v>Transcripción</v>
          </cell>
          <cell r="AM143" t="str">
            <v>JEGAR PUBLICIDAD MISIONES</v>
          </cell>
          <cell r="AN143">
            <v>18500</v>
          </cell>
          <cell r="AO143" t="str">
            <v>No tiene IVA</v>
          </cell>
          <cell r="AP143" t="str">
            <v>No tiene IVA</v>
          </cell>
          <cell r="AQ143">
            <v>18500</v>
          </cell>
          <cell r="AR143">
            <v>0</v>
          </cell>
          <cell r="AS143">
            <v>18500</v>
          </cell>
          <cell r="AT143">
            <v>18500</v>
          </cell>
          <cell r="AU143">
            <v>18500</v>
          </cell>
          <cell r="AV143">
            <v>17117</v>
          </cell>
          <cell r="AW143">
            <v>17117</v>
          </cell>
          <cell r="AX143">
            <v>1862</v>
          </cell>
          <cell r="AY143">
            <v>0.108780744289303</v>
          </cell>
          <cell r="BA143">
            <v>3</v>
          </cell>
          <cell r="BB143" t="str">
            <v>Primer ítem sin IVA//Tercer ítem sin IVA</v>
          </cell>
        </row>
        <row r="144">
          <cell r="D144" t="str">
            <v>Kit de Pinceles Mixtos (Set x 10 unidades)</v>
          </cell>
          <cell r="E144" t="str">
            <v>Set de 10 pinceles de diferentes formas (redondos, planos y de detalle) y tamaños variados. Diseñados con cerdas sintéticas suaves y resistentes, mangos de mader,a para el uso de témperas, acrílicos y vinilos.</v>
          </cell>
          <cell r="F144" t="str">
            <v>Unidad</v>
          </cell>
          <cell r="G144">
            <v>1</v>
          </cell>
          <cell r="H144" t="str">
            <v>Compra</v>
          </cell>
          <cell r="I144" t="str">
            <v>Sandra Vargas</v>
          </cell>
          <cell r="J144">
            <v>46072</v>
          </cell>
          <cell r="K144" t="str">
            <v>Panamericana_Kit Set de pinceles x 10 piezas</v>
          </cell>
          <cell r="L144" t="str">
            <v>Gestión</v>
          </cell>
          <cell r="M144" t="str">
            <v>Panamericana</v>
          </cell>
          <cell r="N144">
            <v>19900</v>
          </cell>
          <cell r="O144" t="str">
            <v>IVA incluido</v>
          </cell>
          <cell r="P144" t="str">
            <v>Si tiene IVA</v>
          </cell>
          <cell r="Q144">
            <v>16722.689075630249</v>
          </cell>
          <cell r="R144">
            <v>3177.3109243697481</v>
          </cell>
          <cell r="S144">
            <v>19900</v>
          </cell>
          <cell r="T144">
            <v>19900</v>
          </cell>
          <cell r="U144">
            <v>19900</v>
          </cell>
          <cell r="V144" t="str">
            <v>Sandra Vargas</v>
          </cell>
          <cell r="W144">
            <v>46072</v>
          </cell>
          <cell r="X144" t="str">
            <v>Comercializadora tj_Varios</v>
          </cell>
          <cell r="Y144" t="str">
            <v>Gestión</v>
          </cell>
          <cell r="Z144" t="str">
            <v>Comercializadora Tj</v>
          </cell>
          <cell r="AA144">
            <v>18200</v>
          </cell>
          <cell r="AB144" t="str">
            <v>Precio sin Iva</v>
          </cell>
          <cell r="AC144" t="str">
            <v>Si tiene IVA</v>
          </cell>
          <cell r="AD144">
            <v>18200</v>
          </cell>
          <cell r="AE144">
            <v>3458</v>
          </cell>
          <cell r="AF144">
            <v>21658</v>
          </cell>
          <cell r="AG144">
            <v>18200</v>
          </cell>
          <cell r="AH144">
            <v>21658</v>
          </cell>
          <cell r="AI144" t="str">
            <v>Sandra Vargas</v>
          </cell>
          <cell r="AJ144">
            <v>46072</v>
          </cell>
          <cell r="AK144" t="str">
            <v>Panafargo_Set Pinceles Para Pintar Estuche Surtido</v>
          </cell>
          <cell r="AL144" t="str">
            <v>Gestión</v>
          </cell>
          <cell r="AM144" t="str">
            <v>Panafargo</v>
          </cell>
          <cell r="AN144">
            <v>17500</v>
          </cell>
          <cell r="AO144" t="str">
            <v>IVA incluido</v>
          </cell>
          <cell r="AP144" t="str">
            <v>Si tiene IVA</v>
          </cell>
          <cell r="AQ144">
            <v>14705.88235294118</v>
          </cell>
          <cell r="AR144">
            <v>2794.117647058823</v>
          </cell>
          <cell r="AS144">
            <v>17500</v>
          </cell>
          <cell r="AT144">
            <v>17500</v>
          </cell>
          <cell r="AU144">
            <v>17500</v>
          </cell>
          <cell r="AV144">
            <v>19686</v>
          </cell>
          <cell r="AW144">
            <v>19686</v>
          </cell>
          <cell r="AX144">
            <v>2087</v>
          </cell>
          <cell r="AY144">
            <v>0.106014426495987</v>
          </cell>
          <cell r="BA144">
            <v>3</v>
          </cell>
        </row>
        <row r="145">
          <cell r="D145" t="str">
            <v>Kit de Pinceles Profesionales Mixtos (Set x 10 unidades)</v>
          </cell>
          <cell r="E145" t="str">
            <v>Set profesional de 10 pinceles con una variedad de formas y tamaños (planos, redondos, angulares y de abanico). Fabricados con cerdas sintéticas de alta calidad (taklon) o naturales, mangos ergonómicos y virolas de aluminio que evitan el desprendimiento de pelo.</v>
          </cell>
          <cell r="F145" t="str">
            <v>Unidad</v>
          </cell>
          <cell r="G145">
            <v>1</v>
          </cell>
          <cell r="H145" t="str">
            <v>Compra</v>
          </cell>
          <cell r="I145" t="str">
            <v>Sandra Vargas</v>
          </cell>
          <cell r="J145">
            <v>46072</v>
          </cell>
          <cell r="K145" t="str">
            <v>Renovacion libreria y papeleria_Varios 16-02-2026...</v>
          </cell>
          <cell r="L145" t="str">
            <v>Gestión</v>
          </cell>
          <cell r="M145" t="str">
            <v>Renovacion Libreria y Papeleria</v>
          </cell>
          <cell r="N145">
            <v>18319</v>
          </cell>
          <cell r="O145" t="str">
            <v>Precio sin Iva</v>
          </cell>
          <cell r="P145" t="str">
            <v>Si tiene IVA</v>
          </cell>
          <cell r="Q145">
            <v>18319</v>
          </cell>
          <cell r="R145">
            <v>3480.61</v>
          </cell>
          <cell r="S145">
            <v>21799.61</v>
          </cell>
          <cell r="T145">
            <v>18319</v>
          </cell>
          <cell r="U145">
            <v>21799.61</v>
          </cell>
          <cell r="V145" t="str">
            <v>Sandra Vargas</v>
          </cell>
          <cell r="W145">
            <v>46072</v>
          </cell>
          <cell r="X145" t="str">
            <v>Papeleria estacion de suba_Varios</v>
          </cell>
          <cell r="Y145" t="str">
            <v>Gestión</v>
          </cell>
          <cell r="Z145" t="str">
            <v>Papeleria la Estacion de Suba</v>
          </cell>
          <cell r="AA145">
            <v>20400</v>
          </cell>
          <cell r="AB145" t="str">
            <v>IVA incluido</v>
          </cell>
          <cell r="AC145" t="str">
            <v>Si tiene IVA</v>
          </cell>
          <cell r="AD145">
            <v>17142.857142857141</v>
          </cell>
          <cell r="AE145">
            <v>3257.1428571428578</v>
          </cell>
          <cell r="AF145">
            <v>20400</v>
          </cell>
          <cell r="AG145">
            <v>20400</v>
          </cell>
          <cell r="AH145">
            <v>20400</v>
          </cell>
          <cell r="AI145" t="str">
            <v>Sandra Vargas</v>
          </cell>
          <cell r="AJ145">
            <v>46072</v>
          </cell>
          <cell r="AK145" t="str">
            <v>Panamericana_Set de pinceles azules x 10 piezas</v>
          </cell>
          <cell r="AL145" t="str">
            <v>Gestión</v>
          </cell>
          <cell r="AM145" t="str">
            <v>Panamericana</v>
          </cell>
          <cell r="AN145">
            <v>24900</v>
          </cell>
          <cell r="AO145" t="str">
            <v>IVA incluido</v>
          </cell>
          <cell r="AP145" t="str">
            <v>Si tiene IVA</v>
          </cell>
          <cell r="AQ145">
            <v>20924.36974789916</v>
          </cell>
          <cell r="AR145">
            <v>3975.6302521008411</v>
          </cell>
          <cell r="AS145">
            <v>24900</v>
          </cell>
          <cell r="AT145">
            <v>24900</v>
          </cell>
          <cell r="AU145">
            <v>24900</v>
          </cell>
          <cell r="AV145">
            <v>22367</v>
          </cell>
          <cell r="AW145">
            <v>22367</v>
          </cell>
          <cell r="AX145">
            <v>2303</v>
          </cell>
          <cell r="AY145">
            <v>0.10296418831314</v>
          </cell>
          <cell r="BA145">
            <v>3</v>
          </cell>
        </row>
        <row r="146">
          <cell r="D146" t="str">
            <v>Lana de colores 3.5 mm para aguja crochet</v>
          </cell>
          <cell r="E146" t="str">
            <v>Lana 3.5 mm antialérgica 100% algodón (200g) Madeja de fibra natural 100% algodón antialérgico de 6 mm de grosor y un peso de 100 gramos. Hebra de textura suave y composición transpirable, disponible en gama de colores variados, para Crochet.</v>
          </cell>
          <cell r="F146" t="str">
            <v>Unidad</v>
          </cell>
          <cell r="G146">
            <v>1</v>
          </cell>
          <cell r="H146" t="str">
            <v>Compra</v>
          </cell>
          <cell r="I146" t="str">
            <v>Sandra Vargas</v>
          </cell>
          <cell r="J146">
            <v>46072</v>
          </cell>
          <cell r="K146" t="str">
            <v>Lana Copito Acrílica_Lana Copito color 0260</v>
          </cell>
          <cell r="L146" t="str">
            <v>Gestión</v>
          </cell>
          <cell r="M146" t="str">
            <v>LANA COPITO ACRILICA</v>
          </cell>
          <cell r="N146">
            <v>14000</v>
          </cell>
          <cell r="O146" t="str">
            <v>IVA incluido</v>
          </cell>
          <cell r="P146" t="str">
            <v>Si tiene IVA</v>
          </cell>
          <cell r="Q146">
            <v>11764.705882352941</v>
          </cell>
          <cell r="R146">
            <v>2235.2941176470599</v>
          </cell>
          <cell r="S146">
            <v>14000</v>
          </cell>
          <cell r="T146">
            <v>14000</v>
          </cell>
          <cell r="U146">
            <v>14000</v>
          </cell>
          <cell r="V146" t="str">
            <v>Sandra Vargas</v>
          </cell>
          <cell r="W146">
            <v>46072</v>
          </cell>
          <cell r="X146" t="str">
            <v>LANA CISNE PREFERIDO _ Lana 3.5</v>
          </cell>
          <cell r="Y146" t="str">
            <v>Gestión</v>
          </cell>
          <cell r="Z146" t="str">
            <v>LANA CISNE PREFERIDO</v>
          </cell>
          <cell r="AA146">
            <v>13600</v>
          </cell>
          <cell r="AB146" t="str">
            <v>IVA incluido</v>
          </cell>
          <cell r="AC146" t="str">
            <v>Si tiene IVA</v>
          </cell>
          <cell r="AD146">
            <v>11428.571428571429</v>
          </cell>
          <cell r="AE146">
            <v>2171.428571428572</v>
          </cell>
          <cell r="AF146">
            <v>13600</v>
          </cell>
          <cell r="AG146">
            <v>13600</v>
          </cell>
          <cell r="AH146">
            <v>13600</v>
          </cell>
          <cell r="AI146" t="str">
            <v>Sandra Vargas</v>
          </cell>
          <cell r="AJ146">
            <v>46072</v>
          </cell>
          <cell r="AK146" t="str">
            <v>Entrelanas Sala de Tejido_Lana Papatya Ecological Cotton # 503 Magenta</v>
          </cell>
          <cell r="AL146" t="str">
            <v>Gestión</v>
          </cell>
          <cell r="AM146" t="str">
            <v xml:space="preserve">ENTRELANAS </v>
          </cell>
          <cell r="AN146">
            <v>12000</v>
          </cell>
          <cell r="AO146" t="str">
            <v>IVA incluido</v>
          </cell>
          <cell r="AP146" t="str">
            <v>Si tiene IVA</v>
          </cell>
          <cell r="AQ146">
            <v>10084.033613445379</v>
          </cell>
          <cell r="AR146">
            <v>1915.966386554622</v>
          </cell>
          <cell r="AS146">
            <v>12000</v>
          </cell>
          <cell r="AT146">
            <v>12000</v>
          </cell>
          <cell r="AU146">
            <v>12000</v>
          </cell>
          <cell r="AV146">
            <v>13200</v>
          </cell>
          <cell r="AW146">
            <v>13200</v>
          </cell>
          <cell r="AX146">
            <v>1058</v>
          </cell>
          <cell r="AY146">
            <v>8.0151515151515099E-2</v>
          </cell>
          <cell r="BA146">
            <v>3</v>
          </cell>
        </row>
        <row r="147">
          <cell r="D147" t="str">
            <v>Lana de colores 4.5 mm para palitos crochet</v>
          </cell>
          <cell r="E147" t="str">
            <v>Lana 4.5 mm antialérgica 100% algodón.  Madeja de fibra natural 100% algodón antialérgico de 6 mm de grosor y un peso de 100 gramos. Hebra de textura suave y composición transpirable, disponible en gama de colores variados, para tejer con palitos.</v>
          </cell>
          <cell r="F147" t="str">
            <v>Unidad</v>
          </cell>
          <cell r="G147">
            <v>1</v>
          </cell>
          <cell r="H147" t="str">
            <v>Compra</v>
          </cell>
          <cell r="I147" t="str">
            <v>Sandra Vargas</v>
          </cell>
          <cell r="J147">
            <v>46072</v>
          </cell>
          <cell r="K147" t="str">
            <v>Rox Silvia – Mi Laneria 4.5</v>
          </cell>
          <cell r="L147" t="str">
            <v>Gestión</v>
          </cell>
          <cell r="M147" t="str">
            <v>ROX SILVIA</v>
          </cell>
          <cell r="N147">
            <v>11900</v>
          </cell>
          <cell r="O147" t="str">
            <v>IVA incluido</v>
          </cell>
          <cell r="P147" t="str">
            <v>Si tiene IVA</v>
          </cell>
          <cell r="Q147">
            <v>10000</v>
          </cell>
          <cell r="R147">
            <v>1900</v>
          </cell>
          <cell r="S147">
            <v>11900</v>
          </cell>
          <cell r="T147">
            <v>11900</v>
          </cell>
          <cell r="U147">
            <v>11900</v>
          </cell>
          <cell r="V147" t="str">
            <v>Sandra Vargas</v>
          </cell>
          <cell r="W147">
            <v>46072</v>
          </cell>
          <cell r="X147" t="str">
            <v>DECKORAR LTDA_Lana Silvia Rox 100gr 4.5</v>
          </cell>
          <cell r="Y147" t="str">
            <v>Gestión</v>
          </cell>
          <cell r="Z147" t="str">
            <v>DECKORAR LTDA</v>
          </cell>
          <cell r="AA147">
            <v>13800</v>
          </cell>
          <cell r="AB147" t="str">
            <v>IVA incluido</v>
          </cell>
          <cell r="AC147" t="str">
            <v>Si tiene IVA</v>
          </cell>
          <cell r="AD147">
            <v>11596.638655462189</v>
          </cell>
          <cell r="AE147">
            <v>2203.3613445378151</v>
          </cell>
          <cell r="AF147">
            <v>13800</v>
          </cell>
          <cell r="AG147">
            <v>13800</v>
          </cell>
          <cell r="AH147">
            <v>13800</v>
          </cell>
          <cell r="AI147" t="str">
            <v>Sandra Vargas</v>
          </cell>
          <cell r="AJ147">
            <v>46072</v>
          </cell>
          <cell r="AK147" t="str">
            <v>Lana Silvia Clásica 4.5</v>
          </cell>
          <cell r="AL147" t="str">
            <v>Gestión</v>
          </cell>
          <cell r="AM147" t="str">
            <v>Lana Silvia</v>
          </cell>
          <cell r="AN147">
            <v>11400</v>
          </cell>
          <cell r="AO147" t="str">
            <v>IVA incluido</v>
          </cell>
          <cell r="AP147" t="str">
            <v>Si tiene IVA</v>
          </cell>
          <cell r="AQ147">
            <v>9579.8319327731097</v>
          </cell>
          <cell r="AR147">
            <v>1820.168067226891</v>
          </cell>
          <cell r="AS147">
            <v>11400</v>
          </cell>
          <cell r="AT147">
            <v>11400</v>
          </cell>
          <cell r="AU147">
            <v>11400</v>
          </cell>
          <cell r="AV147">
            <v>12367</v>
          </cell>
          <cell r="AW147">
            <v>12367</v>
          </cell>
          <cell r="AX147">
            <v>1266</v>
          </cell>
          <cell r="AY147">
            <v>0.10236920837713299</v>
          </cell>
          <cell r="BA147">
            <v>3</v>
          </cell>
        </row>
        <row r="148">
          <cell r="D148" t="str">
            <v>Lana de colores 6 mm</v>
          </cell>
          <cell r="E148" t="str">
            <v>Lana 6mm antialérgica 100% algodón. Madeja de fibra natural 100% algodón antialérgico de 6 mm de grosor y un peso de 100 gramos. Hebra de textura suave y composición transpirable, disponible en gama de colores variados.</v>
          </cell>
          <cell r="F148" t="str">
            <v>Unidad</v>
          </cell>
          <cell r="G148">
            <v>1</v>
          </cell>
          <cell r="H148" t="str">
            <v>Compra</v>
          </cell>
          <cell r="I148" t="str">
            <v>Sandra Vargas</v>
          </cell>
          <cell r="J148">
            <v>46072</v>
          </cell>
          <cell r="K148" t="str">
            <v>Papeleria estacion de suba_Varios</v>
          </cell>
          <cell r="L148" t="str">
            <v>Gestión</v>
          </cell>
          <cell r="M148" t="str">
            <v>Papeleria  la Estacion de Suba</v>
          </cell>
          <cell r="N148">
            <v>5200</v>
          </cell>
          <cell r="O148" t="str">
            <v>IVA incluido</v>
          </cell>
          <cell r="P148" t="str">
            <v>Si tiene IVA</v>
          </cell>
          <cell r="Q148">
            <v>4369.7478991596636</v>
          </cell>
          <cell r="R148">
            <v>830.25210084033631</v>
          </cell>
          <cell r="S148">
            <v>5200.0000000000009</v>
          </cell>
          <cell r="T148">
            <v>5200</v>
          </cell>
          <cell r="U148">
            <v>5200.0000000000009</v>
          </cell>
          <cell r="V148" t="str">
            <v>Sandra Vargas</v>
          </cell>
          <cell r="W148">
            <v>46072</v>
          </cell>
          <cell r="X148" t="str">
            <v>Lana Cielo_Lana de colores</v>
          </cell>
          <cell r="Y148" t="str">
            <v>Gestión</v>
          </cell>
          <cell r="Z148" t="str">
            <v>Lana Cielo</v>
          </cell>
          <cell r="AA148">
            <v>5500</v>
          </cell>
          <cell r="AB148" t="str">
            <v>IVA incluido</v>
          </cell>
          <cell r="AC148" t="str">
            <v>Si tiene IVA</v>
          </cell>
          <cell r="AD148">
            <v>4621.8487394957983</v>
          </cell>
          <cell r="AE148">
            <v>878.15126050420167</v>
          </cell>
          <cell r="AF148">
            <v>5500</v>
          </cell>
          <cell r="AG148">
            <v>5500</v>
          </cell>
          <cell r="AH148">
            <v>5500</v>
          </cell>
          <cell r="AI148" t="str">
            <v>Luz Jimenez</v>
          </cell>
          <cell r="AJ148">
            <v>46072</v>
          </cell>
          <cell r="AK148" t="str">
            <v>INVER Y DISTRIBUIDORES DIAMOND_Varios</v>
          </cell>
          <cell r="AL148" t="str">
            <v>Transcripción</v>
          </cell>
          <cell r="AM148" t="str">
            <v>INVER Y DISTRIBUIDORES DIAMOND</v>
          </cell>
          <cell r="AN148">
            <v>5200</v>
          </cell>
          <cell r="AO148" t="str">
            <v>Precio sin Iva</v>
          </cell>
          <cell r="AP148" t="str">
            <v>Si tiene IVA</v>
          </cell>
          <cell r="AQ148">
            <v>5200</v>
          </cell>
          <cell r="AR148">
            <v>988</v>
          </cell>
          <cell r="AS148">
            <v>6188</v>
          </cell>
          <cell r="AT148">
            <v>5200</v>
          </cell>
          <cell r="AU148">
            <v>6188</v>
          </cell>
          <cell r="AV148">
            <v>5629</v>
          </cell>
          <cell r="AW148">
            <v>5629</v>
          </cell>
          <cell r="AX148">
            <v>507</v>
          </cell>
          <cell r="AY148">
            <v>9.0069284064665106E-2</v>
          </cell>
          <cell r="BA148">
            <v>3</v>
          </cell>
        </row>
        <row r="149">
          <cell r="D149" t="str">
            <v>Lápiz caja x 12</v>
          </cell>
          <cell r="E149" t="str">
            <v>Caja de 12 lápices de grafito graduación HB (No. 2), mina de alta resistencia y trazo suave. Cuerpo de madera de alta calidad para un tajado fácil y uniforme, ideal para escritura general, dibujo básico y uso escolar.</v>
          </cell>
          <cell r="F149" t="str">
            <v>Unidad</v>
          </cell>
          <cell r="G149">
            <v>1</v>
          </cell>
          <cell r="H149" t="str">
            <v>Compra</v>
          </cell>
          <cell r="I149" t="str">
            <v>Marcela González</v>
          </cell>
          <cell r="J149">
            <v>46056</v>
          </cell>
          <cell r="K149" t="str">
            <v>Panamericana_Lápiz caja x 12.pdf</v>
          </cell>
          <cell r="L149" t="str">
            <v>Gestión</v>
          </cell>
          <cell r="M149" t="str">
            <v>Panamericana</v>
          </cell>
          <cell r="N149">
            <v>7992</v>
          </cell>
          <cell r="O149" t="str">
            <v>IVA incluido</v>
          </cell>
          <cell r="P149" t="str">
            <v>Si tiene IVA</v>
          </cell>
          <cell r="Q149">
            <v>6715.9663865546208</v>
          </cell>
          <cell r="R149">
            <v>1276.033613445378</v>
          </cell>
          <cell r="S149">
            <v>7992</v>
          </cell>
          <cell r="T149">
            <v>7992</v>
          </cell>
          <cell r="U149">
            <v>7992</v>
          </cell>
          <cell r="V149" t="str">
            <v>Marcela Gonzalez</v>
          </cell>
          <cell r="W149">
            <v>46056</v>
          </cell>
          <cell r="X149" t="str">
            <v>Exito_Lápiz caja x 12.pdf</v>
          </cell>
          <cell r="Y149" t="str">
            <v>Gestión</v>
          </cell>
          <cell r="Z149" t="str">
            <v>Exito</v>
          </cell>
          <cell r="AA149">
            <v>9300</v>
          </cell>
          <cell r="AB149" t="str">
            <v>IVA incluido</v>
          </cell>
          <cell r="AC149" t="str">
            <v>Si tiene IVA</v>
          </cell>
          <cell r="AD149">
            <v>7815.1260504201682</v>
          </cell>
          <cell r="AE149">
            <v>1484.873949579832</v>
          </cell>
          <cell r="AF149">
            <v>9300</v>
          </cell>
          <cell r="AG149">
            <v>9300</v>
          </cell>
          <cell r="AH149">
            <v>9300</v>
          </cell>
          <cell r="AI149" t="str">
            <v>Marcela González</v>
          </cell>
          <cell r="AJ149">
            <v>46056</v>
          </cell>
          <cell r="AK149" t="str">
            <v>Norma_Lápiz caja x 12.pdf</v>
          </cell>
          <cell r="AL149" t="str">
            <v>Gestión</v>
          </cell>
          <cell r="AM149" t="str">
            <v>Norma</v>
          </cell>
          <cell r="AN149">
            <v>11180</v>
          </cell>
          <cell r="AO149" t="str">
            <v>IVA incluido</v>
          </cell>
          <cell r="AP149" t="str">
            <v>Si tiene IVA</v>
          </cell>
          <cell r="AQ149">
            <v>9394.957983193277</v>
          </cell>
          <cell r="AR149">
            <v>1785.042016806723</v>
          </cell>
          <cell r="AS149">
            <v>11180</v>
          </cell>
          <cell r="AT149">
            <v>11180</v>
          </cell>
          <cell r="AU149">
            <v>11180</v>
          </cell>
          <cell r="AV149">
            <v>9491</v>
          </cell>
          <cell r="AW149">
            <v>9491</v>
          </cell>
          <cell r="AX149">
            <v>1603</v>
          </cell>
          <cell r="AY149">
            <v>0.168896849647034</v>
          </cell>
          <cell r="BA149">
            <v>3</v>
          </cell>
        </row>
        <row r="150">
          <cell r="D150" t="str">
            <v>Lápiz Carboncillo Charcoal con pita</v>
          </cell>
          <cell r="E150" t="str">
            <v>Lápices de carboncillo fabricados en madera con mina de carboncillo comprimido. Disponibles en colores negro y mate, con un surtido de durezas que incluye graduaciones suave, media y dura.</v>
          </cell>
          <cell r="F150" t="str">
            <v>Unidad</v>
          </cell>
          <cell r="G150">
            <v>1</v>
          </cell>
          <cell r="H150" t="str">
            <v>Compra</v>
          </cell>
          <cell r="I150" t="str">
            <v>Marcela González</v>
          </cell>
          <cell r="J150">
            <v>46057</v>
          </cell>
          <cell r="K150" t="str">
            <v>La Gran Papelería_Lápiz Carboncillo Charcoal con pita.pdf</v>
          </cell>
          <cell r="L150" t="str">
            <v>Gestión</v>
          </cell>
          <cell r="M150" t="str">
            <v>La Gran Papelería</v>
          </cell>
          <cell r="N150">
            <v>3500</v>
          </cell>
          <cell r="O150" t="str">
            <v>IVA incluido</v>
          </cell>
          <cell r="P150" t="str">
            <v>Si tiene IVA</v>
          </cell>
          <cell r="Q150">
            <v>2941.176470588236</v>
          </cell>
          <cell r="R150">
            <v>558.82352941176475</v>
          </cell>
          <cell r="S150">
            <v>3500</v>
          </cell>
          <cell r="T150">
            <v>3500</v>
          </cell>
          <cell r="U150">
            <v>3500</v>
          </cell>
          <cell r="V150" t="str">
            <v>Marcela González</v>
          </cell>
          <cell r="W150">
            <v>46057</v>
          </cell>
          <cell r="X150" t="str">
            <v>Tienda Gioto_Lápiz Carboncillo Charcoal con pita.pdf</v>
          </cell>
          <cell r="Y150" t="str">
            <v>Gestión</v>
          </cell>
          <cell r="Z150" t="str">
            <v>Tienda Gioto</v>
          </cell>
          <cell r="AA150">
            <v>3176</v>
          </cell>
          <cell r="AB150" t="str">
            <v>IVA incluido</v>
          </cell>
          <cell r="AC150" t="str">
            <v>Si tiene IVA</v>
          </cell>
          <cell r="AD150">
            <v>2668.90756302521</v>
          </cell>
          <cell r="AE150">
            <v>507.0924369747899</v>
          </cell>
          <cell r="AF150">
            <v>3176</v>
          </cell>
          <cell r="AG150">
            <v>3176</v>
          </cell>
          <cell r="AH150">
            <v>3176</v>
          </cell>
          <cell r="AI150" t="str">
            <v>Marcela González</v>
          </cell>
          <cell r="AJ150">
            <v>46057</v>
          </cell>
          <cell r="AK150" t="str">
            <v>Comercial Papelera_Lápiz Carboncillo Charcoal con pita.pdf</v>
          </cell>
          <cell r="AL150" t="str">
            <v>Gestión</v>
          </cell>
          <cell r="AM150" t="str">
            <v>Comercial Papelera</v>
          </cell>
          <cell r="AN150">
            <v>4500</v>
          </cell>
          <cell r="AO150" t="str">
            <v>IVA incluido</v>
          </cell>
          <cell r="AP150" t="str">
            <v>Si tiene IVA</v>
          </cell>
          <cell r="AQ150">
            <v>3781.5126050420172</v>
          </cell>
          <cell r="AR150">
            <v>718.48739495798316</v>
          </cell>
          <cell r="AS150">
            <v>4500</v>
          </cell>
          <cell r="AT150">
            <v>4500</v>
          </cell>
          <cell r="AU150">
            <v>4500</v>
          </cell>
          <cell r="AV150">
            <v>3725</v>
          </cell>
          <cell r="AW150">
            <v>3725</v>
          </cell>
          <cell r="AX150">
            <v>690</v>
          </cell>
          <cell r="AY150">
            <v>0.185234899328859</v>
          </cell>
          <cell r="BA150">
            <v>3</v>
          </cell>
        </row>
        <row r="151">
          <cell r="D151" t="str">
            <v>Lápiz triangular MAE Caja x 12</v>
          </cell>
          <cell r="E151" t="str">
            <v>Caja de 12 lápices con cuerpo de forma triangular ergonómica, mina de grafito graduación HB</v>
          </cell>
          <cell r="F151" t="str">
            <v>Unidad</v>
          </cell>
          <cell r="G151">
            <v>1</v>
          </cell>
          <cell r="H151" t="str">
            <v>Compra</v>
          </cell>
          <cell r="I151" t="str">
            <v>Luz Jimenez</v>
          </cell>
          <cell r="J151">
            <v>46080</v>
          </cell>
          <cell r="K151" t="str">
            <v>Comercial Papeleria_Lápiz triangular MAE Caja x 12.pdf</v>
          </cell>
          <cell r="L151" t="str">
            <v>Gestión</v>
          </cell>
          <cell r="M151" t="str">
            <v>Comercial Papeleria</v>
          </cell>
          <cell r="N151">
            <v>8500</v>
          </cell>
          <cell r="O151" t="str">
            <v>IVA incluido</v>
          </cell>
          <cell r="P151" t="str">
            <v>Si tiene IVA</v>
          </cell>
          <cell r="Q151">
            <v>7142.8571428571431</v>
          </cell>
          <cell r="R151">
            <v>1357.1428571428571</v>
          </cell>
          <cell r="S151">
            <v>8500</v>
          </cell>
          <cell r="T151">
            <v>8500</v>
          </cell>
          <cell r="U151">
            <v>8500</v>
          </cell>
          <cell r="V151" t="str">
            <v>Luz Jimenez</v>
          </cell>
          <cell r="W151">
            <v>46080</v>
          </cell>
          <cell r="X151" t="str">
            <v>La Gran Papelería_Lápiz Carboncillo Charcoal con pita.pdf</v>
          </cell>
          <cell r="Y151" t="str">
            <v>Gestión</v>
          </cell>
          <cell r="Z151" t="str">
            <v>La Gran Papeleria</v>
          </cell>
          <cell r="AA151">
            <v>6722</v>
          </cell>
          <cell r="AB151" t="str">
            <v>Precio sin Iva</v>
          </cell>
          <cell r="AC151" t="str">
            <v>Si tiene IVA</v>
          </cell>
          <cell r="AD151">
            <v>6722</v>
          </cell>
          <cell r="AE151">
            <v>1277.18</v>
          </cell>
          <cell r="AF151">
            <v>7999.18</v>
          </cell>
          <cell r="AG151">
            <v>6722</v>
          </cell>
          <cell r="AH151">
            <v>7999.18</v>
          </cell>
          <cell r="AI151" t="str">
            <v>Luz Jimenez</v>
          </cell>
          <cell r="AJ151">
            <v>46080</v>
          </cell>
          <cell r="AK151" t="str">
            <v>Papeleria estacion de suba_Varios</v>
          </cell>
          <cell r="AL151" t="str">
            <v>Gestión</v>
          </cell>
          <cell r="AM151" t="str">
            <v>Papeleria la Estacion de Suba</v>
          </cell>
          <cell r="AN151">
            <v>6302</v>
          </cell>
          <cell r="AO151" t="str">
            <v>IVA incluido</v>
          </cell>
          <cell r="AP151" t="str">
            <v>Si tiene IVA</v>
          </cell>
          <cell r="AQ151">
            <v>5295.7983193277314</v>
          </cell>
          <cell r="AR151">
            <v>1006.201680672269</v>
          </cell>
          <cell r="AS151">
            <v>6302</v>
          </cell>
          <cell r="AT151">
            <v>6302</v>
          </cell>
          <cell r="AU151">
            <v>6302</v>
          </cell>
          <cell r="AV151">
            <v>7600</v>
          </cell>
          <cell r="AW151">
            <v>7600</v>
          </cell>
          <cell r="AX151">
            <v>1152</v>
          </cell>
          <cell r="AY151">
            <v>0.15157894736842101</v>
          </cell>
          <cell r="BA151">
            <v>3</v>
          </cell>
        </row>
        <row r="152">
          <cell r="D152" t="str">
            <v>Lienzo con Bastidor (30 x 20 cm)</v>
          </cell>
          <cell r="E152" t="str">
            <v>Bastidor de madera con tela de 100% algodón de 163 g/m². Superficie con imprimación universal apta para técnicas de óleo y acrílico. Dimensiones: 30 x 20 cm.</v>
          </cell>
          <cell r="F152" t="str">
            <v>Unidad</v>
          </cell>
          <cell r="G152">
            <v>1</v>
          </cell>
          <cell r="H152" t="str">
            <v>Compra</v>
          </cell>
          <cell r="I152" t="str">
            <v>Luz Jimenez</v>
          </cell>
          <cell r="J152">
            <v>46080</v>
          </cell>
          <cell r="K152" t="str">
            <v>LAVITELA_Lienzos con bastidor para artistas Chivalry</v>
          </cell>
          <cell r="L152" t="str">
            <v>Transcripción</v>
          </cell>
          <cell r="M152" t="str">
            <v>LAVITELA</v>
          </cell>
          <cell r="N152">
            <v>12000</v>
          </cell>
          <cell r="O152" t="str">
            <v>IVA incluido</v>
          </cell>
          <cell r="P152" t="str">
            <v>Si tiene IVA</v>
          </cell>
          <cell r="Q152">
            <v>10084.033613445379</v>
          </cell>
          <cell r="R152">
            <v>1915.966386554622</v>
          </cell>
          <cell r="S152">
            <v>12000</v>
          </cell>
          <cell r="T152">
            <v>12000</v>
          </cell>
          <cell r="U152">
            <v>12000</v>
          </cell>
          <cell r="V152" t="str">
            <v>Luz Jimenez</v>
          </cell>
          <cell r="W152">
            <v>46080</v>
          </cell>
          <cell r="X152" t="str">
            <v>Panamaricana_Lienzo con bastidor de 30 x 20 cm.pdf</v>
          </cell>
          <cell r="Y152" t="str">
            <v>Gestión</v>
          </cell>
          <cell r="Z152" t="str">
            <v>Panamericana</v>
          </cell>
          <cell r="AA152">
            <v>11400</v>
          </cell>
          <cell r="AB152" t="str">
            <v>IVA incluido</v>
          </cell>
          <cell r="AC152" t="str">
            <v>Si tiene IVA</v>
          </cell>
          <cell r="AD152">
            <v>9579.8319327731097</v>
          </cell>
          <cell r="AE152">
            <v>1820.168067226891</v>
          </cell>
          <cell r="AF152">
            <v>11400</v>
          </cell>
          <cell r="AG152">
            <v>11400</v>
          </cell>
          <cell r="AH152">
            <v>11400</v>
          </cell>
          <cell r="AI152" t="str">
            <v>Luz Jimenez</v>
          </cell>
          <cell r="AJ152">
            <v>46080</v>
          </cell>
          <cell r="AK152" t="str">
            <v>Papeleria Grancentral San Victorino_Lienzo 20x30 Centimetros Con Bastidor.pdf</v>
          </cell>
          <cell r="AL152" t="str">
            <v>Gestión</v>
          </cell>
          <cell r="AM152" t="str">
            <v>Papeleria Gran central</v>
          </cell>
          <cell r="AN152">
            <v>12700</v>
          </cell>
          <cell r="AO152" t="str">
            <v>IVA incluido</v>
          </cell>
          <cell r="AP152" t="str">
            <v>Si tiene IVA</v>
          </cell>
          <cell r="AQ152">
            <v>10672.26890756303</v>
          </cell>
          <cell r="AR152">
            <v>2027.7310924369749</v>
          </cell>
          <cell r="AS152">
            <v>12700</v>
          </cell>
          <cell r="AT152">
            <v>12700</v>
          </cell>
          <cell r="AU152">
            <v>12700</v>
          </cell>
          <cell r="AV152">
            <v>12033</v>
          </cell>
          <cell r="AW152">
            <v>12033</v>
          </cell>
          <cell r="AX152">
            <v>651</v>
          </cell>
          <cell r="AY152">
            <v>5.4101221640488598E-2</v>
          </cell>
          <cell r="BA152">
            <v>3</v>
          </cell>
        </row>
        <row r="153">
          <cell r="D153" t="str">
            <v>Lienzo Panel Blanco (20 x 20 cm)</v>
          </cell>
          <cell r="E153" t="str">
            <v>Panel de lienzo marca Basic Langer fabricado en 100% algodón. Diseño ultra delgado con medidas de 20 x 20 x 0.5 cm, ideal para bocetos y estudios en diversas técnicas pictóricas</v>
          </cell>
          <cell r="F153" t="str">
            <v>Unidad</v>
          </cell>
          <cell r="G153">
            <v>1</v>
          </cell>
          <cell r="H153" t="str">
            <v>Compra</v>
          </cell>
          <cell r="I153" t="str">
            <v>Luz Jimenez</v>
          </cell>
          <cell r="J153">
            <v>46080</v>
          </cell>
          <cell r="K153" t="str">
            <v>INVER Y DISTRIBUIDORES DIAMOND_Varios</v>
          </cell>
          <cell r="L153" t="str">
            <v>Gestión</v>
          </cell>
          <cell r="M153" t="str">
            <v>INVER Y DISTRIBUIDORES DIAMOND</v>
          </cell>
          <cell r="N153">
            <v>7700</v>
          </cell>
          <cell r="O153" t="str">
            <v>Precio sin Iva</v>
          </cell>
          <cell r="P153" t="str">
            <v>Si tiene IVA</v>
          </cell>
          <cell r="Q153">
            <v>7700</v>
          </cell>
          <cell r="R153">
            <v>1463</v>
          </cell>
          <cell r="S153">
            <v>9163</v>
          </cell>
          <cell r="T153">
            <v>7700</v>
          </cell>
          <cell r="U153">
            <v>9163</v>
          </cell>
          <cell r="V153" t="str">
            <v>Luz Jimenez</v>
          </cell>
          <cell r="W153">
            <v>46080</v>
          </cell>
          <cell r="X153" t="str">
            <v>Papeleria Grancentral San Victorino_Lienzo 20x20 Centimetros Con Bastidor .pdf</v>
          </cell>
          <cell r="Y153" t="str">
            <v>Gestión</v>
          </cell>
          <cell r="Z153" t="str">
            <v>Papeleria Gran central</v>
          </cell>
          <cell r="AA153">
            <v>10710</v>
          </cell>
          <cell r="AB153" t="str">
            <v>IVA incluido</v>
          </cell>
          <cell r="AC153" t="str">
            <v>Si tiene IVA</v>
          </cell>
          <cell r="AD153">
            <v>9000</v>
          </cell>
          <cell r="AE153">
            <v>1710</v>
          </cell>
          <cell r="AF153">
            <v>10710</v>
          </cell>
          <cell r="AG153">
            <v>10710</v>
          </cell>
          <cell r="AH153">
            <v>10710</v>
          </cell>
          <cell r="AI153" t="str">
            <v>Luz Jimenez</v>
          </cell>
          <cell r="AJ153">
            <v>46080</v>
          </cell>
          <cell r="AK153" t="str">
            <v>Panamericana_Lienzo panel Basic Langer blanco de 20 x 20 cm.pdf</v>
          </cell>
          <cell r="AL153" t="str">
            <v>Gestión</v>
          </cell>
          <cell r="AM153" t="str">
            <v>Panamericana</v>
          </cell>
          <cell r="AN153">
            <v>9900</v>
          </cell>
          <cell r="AO153" t="str">
            <v>IVA incluido</v>
          </cell>
          <cell r="AP153" t="str">
            <v>Si tiene IVA</v>
          </cell>
          <cell r="AQ153">
            <v>8319.3277310924368</v>
          </cell>
          <cell r="AR153">
            <v>1580.672268907563</v>
          </cell>
          <cell r="AS153">
            <v>9900</v>
          </cell>
          <cell r="AT153">
            <v>9900</v>
          </cell>
          <cell r="AU153">
            <v>9900</v>
          </cell>
          <cell r="AV153">
            <v>9924</v>
          </cell>
          <cell r="AW153">
            <v>9924</v>
          </cell>
          <cell r="AX153">
            <v>774</v>
          </cell>
          <cell r="AY153">
            <v>7.7992744860943194E-2</v>
          </cell>
          <cell r="BA153">
            <v>3</v>
          </cell>
        </row>
        <row r="154">
          <cell r="D154" t="str">
            <v>Linea de Whatsapp</v>
          </cell>
          <cell r="E154" t="str">
            <v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v>
          </cell>
          <cell r="F154" t="str">
            <v>SERVICIO</v>
          </cell>
          <cell r="G154">
            <v>1</v>
          </cell>
          <cell r="Q154" t="str">
            <v> </v>
          </cell>
          <cell r="R154" t="str">
            <v> </v>
          </cell>
          <cell r="S154" t="str">
            <v> </v>
          </cell>
          <cell r="T154" t="str">
            <v> </v>
          </cell>
          <cell r="U154" t="str">
            <v> </v>
          </cell>
          <cell r="V154" t="str">
            <v>OPERADOR LOGÍSTICO</v>
          </cell>
          <cell r="W154" t="str">
            <v>OPERADOR LOGÍSTICO</v>
          </cell>
          <cell r="X154" t="str">
            <v>OPERADOR LOGÍSTICO</v>
          </cell>
          <cell r="Y154" t="str">
            <v>OPERADOR LOGÍSTICO</v>
          </cell>
          <cell r="Z154" t="str">
            <v>Estimación de precios con base en el proceso FDLSUBA-LP-013-2025 (140689) – Contrato 1000 – 2025, indexando el incremento de precios en el mercado con base en el Índice de Precios al Consumidor (IPC) para el mes de marzo de 2026, el cual fue de 5,56%.</v>
          </cell>
          <cell r="AA154" t="str">
            <v>OPERADOR LOGÍSTICO</v>
          </cell>
          <cell r="AB154" t="str">
            <v>OPERADOR LOGÍSTICO</v>
          </cell>
          <cell r="AC154" t="str">
            <v>OPERADOR LOGÍSTICO</v>
          </cell>
          <cell r="AD154" t="str">
            <v>OPERADOR LOGÍSTICO</v>
          </cell>
          <cell r="AE154" t="str">
            <v>OPERADOR LOGÍSTICO</v>
          </cell>
          <cell r="AF154">
            <v>238084.03361344541</v>
          </cell>
          <cell r="AG154">
            <v>45235.966386554617</v>
          </cell>
          <cell r="AH154">
            <v>283320</v>
          </cell>
          <cell r="AI154" t="str">
            <v>OPERADOR LOGÍSTICO</v>
          </cell>
          <cell r="AJ154" t="str">
            <v>OPERADOR LOGÍSTICO</v>
          </cell>
          <cell r="AK154" t="str">
            <v>OPERADOR LOGÍSTICO</v>
          </cell>
          <cell r="AL154" t="str">
            <v>OPERADOR LOGÍSTICO</v>
          </cell>
          <cell r="AM154" t="str">
            <v>FUNCAS</v>
          </cell>
          <cell r="AN154" t="str">
            <v>OPERADOR LOGÍSTICO</v>
          </cell>
          <cell r="AO154" t="str">
            <v>OPERADOR LOGÍSTICO</v>
          </cell>
          <cell r="AP154" t="str">
            <v>OPERADOR LOGÍSTICO</v>
          </cell>
          <cell r="AQ154">
            <v>230055</v>
          </cell>
          <cell r="AR154">
            <v>43710</v>
          </cell>
          <cell r="AS154">
            <v>273765</v>
          </cell>
          <cell r="AT154">
            <v>230055</v>
          </cell>
          <cell r="AU154">
            <v>273765</v>
          </cell>
          <cell r="AV154">
            <v>255925</v>
          </cell>
          <cell r="AW154">
            <v>255925</v>
          </cell>
          <cell r="AX154" t="str">
            <v/>
          </cell>
          <cell r="AY154">
            <v>2.4299999999999999E-2</v>
          </cell>
        </row>
        <row r="155">
          <cell r="D155" t="str">
            <v>Marcador borrable caja x 10</v>
          </cell>
          <cell r="E155" t="str">
            <v>Caja de 10 marcadores para tablero blanco con tinta de borrado en seco, colores intensos y bajo olor. Punta acrílica de alta resistencia (redonda o biselada)</v>
          </cell>
          <cell r="F155" t="str">
            <v>Unidad</v>
          </cell>
          <cell r="G155">
            <v>1</v>
          </cell>
          <cell r="H155" t="str">
            <v>Compra</v>
          </cell>
          <cell r="I155" t="str">
            <v>Luz Jimenez</v>
          </cell>
          <cell r="J155">
            <v>46080</v>
          </cell>
          <cell r="K155" t="str">
            <v>Libreriatroya.com_Marcadores k-marker borrable kores x10.pdf</v>
          </cell>
          <cell r="L155" t="str">
            <v>Gestión</v>
          </cell>
          <cell r="M155" t="str">
            <v>LibreriaTroya.com</v>
          </cell>
          <cell r="N155">
            <v>13866</v>
          </cell>
          <cell r="O155" t="str">
            <v>IVA incluido</v>
          </cell>
          <cell r="P155" t="str">
            <v>Si tiene IVA</v>
          </cell>
          <cell r="Q155">
            <v>11652.100840336139</v>
          </cell>
          <cell r="R155">
            <v>2213.8991596638662</v>
          </cell>
          <cell r="S155">
            <v>13866</v>
          </cell>
          <cell r="T155">
            <v>13866</v>
          </cell>
          <cell r="U155">
            <v>13866</v>
          </cell>
          <cell r="V155" t="str">
            <v>Luz Jimenez</v>
          </cell>
          <cell r="W155">
            <v>46080</v>
          </cell>
          <cell r="X155" t="str">
            <v>INVER Y DISTRIBUIDORES DIAMOND_Varios</v>
          </cell>
          <cell r="Y155" t="str">
            <v>Gestión</v>
          </cell>
          <cell r="Z155" t="str">
            <v>INVER Y DISTRIBUIDORES DIAMOND</v>
          </cell>
          <cell r="AA155">
            <v>14034</v>
          </cell>
          <cell r="AB155" t="str">
            <v>Precio sin Iva</v>
          </cell>
          <cell r="AC155" t="str">
            <v>Si tiene IVA</v>
          </cell>
          <cell r="AD155">
            <v>14034</v>
          </cell>
          <cell r="AE155">
            <v>2666.46</v>
          </cell>
          <cell r="AF155">
            <v>16700.46</v>
          </cell>
          <cell r="AG155">
            <v>14034</v>
          </cell>
          <cell r="AH155">
            <v>16700.46</v>
          </cell>
          <cell r="AI155" t="str">
            <v>Luz Jimenez</v>
          </cell>
          <cell r="AJ155">
            <v>46080</v>
          </cell>
          <cell r="AK155" t="str">
            <v>Papeleria Paraiso.pdf</v>
          </cell>
          <cell r="AL155" t="str">
            <v>Gestión</v>
          </cell>
          <cell r="AM155" t="str">
            <v>Papeleria Paraiso</v>
          </cell>
          <cell r="AN155">
            <v>15000</v>
          </cell>
          <cell r="AO155" t="str">
            <v>IVA incluido</v>
          </cell>
          <cell r="AP155" t="str">
            <v>Si tiene IVA</v>
          </cell>
          <cell r="AQ155">
            <v>12605.042016806719</v>
          </cell>
          <cell r="AR155">
            <v>2394.957983193277</v>
          </cell>
          <cell r="AS155">
            <v>15000</v>
          </cell>
          <cell r="AT155">
            <v>15000</v>
          </cell>
          <cell r="AU155">
            <v>15000</v>
          </cell>
          <cell r="AV155">
            <v>15189</v>
          </cell>
          <cell r="AW155">
            <v>15189</v>
          </cell>
          <cell r="AX155">
            <v>1427</v>
          </cell>
          <cell r="AY155">
            <v>9.3949568766870703E-2</v>
          </cell>
          <cell r="BA155">
            <v>3</v>
          </cell>
        </row>
        <row r="156">
          <cell r="D156" t="str">
            <v xml:space="preserve">Marcador permanente caja x 10 </v>
          </cell>
          <cell r="E156" t="str">
            <v>Caja de 10 marcadores permanentes de colores variados con tinta de secado rápido, resistente al agua y a la decoloración. Punta de fibra de alta resistencia (redonda o biselada) capaz de marcar sobre múltiples superficies como papel, cartón, metal, plástico y vidrio</v>
          </cell>
          <cell r="F156" t="str">
            <v>Unidad</v>
          </cell>
          <cell r="G156">
            <v>1</v>
          </cell>
          <cell r="H156" t="str">
            <v>Compra</v>
          </cell>
          <cell r="I156" t="str">
            <v>Luz Jimenez</v>
          </cell>
          <cell r="J156">
            <v>46080</v>
          </cell>
          <cell r="K156" t="str">
            <v>INVER Y DISTRIBUIDORES DIAMOND_Varios</v>
          </cell>
          <cell r="L156" t="str">
            <v>Transcripción</v>
          </cell>
          <cell r="M156" t="str">
            <v>INVER Y DISTRIBUIDORES DIAMOND</v>
          </cell>
          <cell r="N156">
            <v>12687</v>
          </cell>
          <cell r="O156" t="str">
            <v>Precio sin Iva</v>
          </cell>
          <cell r="P156" t="str">
            <v>Si tiene IVA</v>
          </cell>
          <cell r="Q156">
            <v>12687</v>
          </cell>
          <cell r="R156">
            <v>2410.5300000000002</v>
          </cell>
          <cell r="S156">
            <v>15097.53</v>
          </cell>
          <cell r="T156">
            <v>12687</v>
          </cell>
          <cell r="U156">
            <v>15097.53</v>
          </cell>
          <cell r="V156" t="str">
            <v>Luz Jimenez</v>
          </cell>
          <cell r="W156">
            <v>46080</v>
          </cell>
          <cell r="X156" t="str">
            <v>Papeleria Paraiso</v>
          </cell>
          <cell r="Y156" t="str">
            <v>Gestión</v>
          </cell>
          <cell r="Z156" t="str">
            <v>Papeleria Paraiso</v>
          </cell>
          <cell r="AA156">
            <v>12000</v>
          </cell>
          <cell r="AB156" t="str">
            <v>IVA incluido</v>
          </cell>
          <cell r="AC156" t="str">
            <v>Si tiene IVA</v>
          </cell>
          <cell r="AD156">
            <v>10084.033613445379</v>
          </cell>
          <cell r="AE156">
            <v>1915.966386554622</v>
          </cell>
          <cell r="AF156">
            <v>12000</v>
          </cell>
          <cell r="AG156">
            <v>12000</v>
          </cell>
          <cell r="AH156">
            <v>12000</v>
          </cell>
          <cell r="AI156" t="str">
            <v>Luz Jimenez</v>
          </cell>
          <cell r="AJ156">
            <v>46080</v>
          </cell>
          <cell r="AK156" t="str">
            <v>Papeleria estacion de suba_Varios</v>
          </cell>
          <cell r="AL156" t="str">
            <v>Transcripción</v>
          </cell>
          <cell r="AM156" t="str">
            <v>Papeleria la Estacion de Suba</v>
          </cell>
          <cell r="AN156">
            <v>14800</v>
          </cell>
          <cell r="AO156" t="str">
            <v>IVA incluido</v>
          </cell>
          <cell r="AP156" t="str">
            <v>Si tiene IVA</v>
          </cell>
          <cell r="AQ156">
            <v>12436.97478991597</v>
          </cell>
          <cell r="AR156">
            <v>2363.025210084033</v>
          </cell>
          <cell r="AS156">
            <v>14800</v>
          </cell>
          <cell r="AT156">
            <v>14800</v>
          </cell>
          <cell r="AU156">
            <v>14800</v>
          </cell>
          <cell r="AV156">
            <v>13966</v>
          </cell>
          <cell r="AW156">
            <v>13966</v>
          </cell>
          <cell r="AX156">
            <v>1709</v>
          </cell>
          <cell r="AY156">
            <v>0.12236860948016599</v>
          </cell>
          <cell r="BA156">
            <v>3</v>
          </cell>
        </row>
        <row r="157">
          <cell r="D157" t="str">
            <v>Marcadores de Alcohol Caja x 80 colores doble punta</v>
          </cell>
          <cell r="E157" t="str">
            <v>Set de 80 marcadores artísticos de punta doble (fina y biselada) con tinta a base de alcohol de secado rápido y mezcla profesional. Incluye estuche de lona con organizador interno y tapas codificadas por color y número para identificación técnica.</v>
          </cell>
          <cell r="F157" t="str">
            <v>Unidad</v>
          </cell>
          <cell r="G157">
            <v>1</v>
          </cell>
          <cell r="H157" t="str">
            <v>Compra</v>
          </cell>
          <cell r="I157" t="str">
            <v>Luz Jimenez</v>
          </cell>
          <cell r="J157">
            <v>46080</v>
          </cell>
          <cell r="K157" t="str">
            <v>Fallabella_Marcadores Alcohol Doble Punta Fina Biselada Profesionales 80 Colores</v>
          </cell>
          <cell r="L157" t="str">
            <v>Transcripción</v>
          </cell>
          <cell r="M157" t="str">
            <v>Fallabella</v>
          </cell>
          <cell r="N157">
            <v>47900</v>
          </cell>
          <cell r="O157" t="str">
            <v>IVA incluido</v>
          </cell>
          <cell r="P157" t="str">
            <v>Si tiene IVA</v>
          </cell>
          <cell r="Q157">
            <v>40252.100840336127</v>
          </cell>
          <cell r="R157">
            <v>7647.8991596638652</v>
          </cell>
          <cell r="S157">
            <v>47900</v>
          </cell>
          <cell r="T157">
            <v>47900</v>
          </cell>
          <cell r="U157">
            <v>47900</v>
          </cell>
          <cell r="V157" t="str">
            <v>Luz Jimenez</v>
          </cell>
          <cell r="W157">
            <v>46080</v>
          </cell>
          <cell r="X157" t="str">
            <v>Homcenter_Set X80 Unidades Marcadores Doble Punta Base de Alcohol</v>
          </cell>
          <cell r="Y157" t="str">
            <v>Transcripción</v>
          </cell>
          <cell r="Z157" t="str">
            <v>Homme Center</v>
          </cell>
          <cell r="AA157">
            <v>51900</v>
          </cell>
          <cell r="AB157" t="str">
            <v>IVA incluido</v>
          </cell>
          <cell r="AC157" t="str">
            <v>Si tiene IVA</v>
          </cell>
          <cell r="AD157">
            <v>43613.445378151257</v>
          </cell>
          <cell r="AE157">
            <v>8286.5546218487398</v>
          </cell>
          <cell r="AF157">
            <v>51900</v>
          </cell>
          <cell r="AG157">
            <v>51900</v>
          </cell>
          <cell r="AH157">
            <v>51900</v>
          </cell>
          <cell r="AI157" t="str">
            <v>Luz Jimenez</v>
          </cell>
          <cell r="AJ157">
            <v>46080</v>
          </cell>
          <cell r="AK157" t="str">
            <v>SUESCUN_Marcadores Touch doble punta x80 - Mejor precio en Colombia</v>
          </cell>
          <cell r="AL157" t="str">
            <v>Transcripción</v>
          </cell>
          <cell r="AM157" t="str">
            <v>SUESCUN</v>
          </cell>
          <cell r="AN157">
            <v>50000</v>
          </cell>
          <cell r="AO157" t="str">
            <v>IVA incluido</v>
          </cell>
          <cell r="AP157" t="str">
            <v>Si tiene IVA</v>
          </cell>
          <cell r="AQ157">
            <v>42016.806722689078</v>
          </cell>
          <cell r="AR157">
            <v>7983.1932773109247</v>
          </cell>
          <cell r="AS157">
            <v>50000</v>
          </cell>
          <cell r="AT157">
            <v>50000</v>
          </cell>
          <cell r="AU157">
            <v>50000</v>
          </cell>
          <cell r="AV157">
            <v>49933</v>
          </cell>
          <cell r="AW157">
            <v>49933</v>
          </cell>
          <cell r="AX157">
            <v>2001</v>
          </cell>
          <cell r="AY157">
            <v>4.0073698756333501E-2</v>
          </cell>
          <cell r="BA157">
            <v>3</v>
          </cell>
        </row>
        <row r="158">
          <cell r="D158" t="str">
            <v>Médico eventos masivos</v>
          </cell>
          <cell r="E158" t="str">
            <v>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v>
          </cell>
          <cell r="F158" t="str">
            <v>SERVICIO</v>
          </cell>
          <cell r="G158">
            <v>1</v>
          </cell>
          <cell r="Q158" t="str">
            <v> </v>
          </cell>
          <cell r="R158" t="str">
            <v> </v>
          </cell>
          <cell r="S158" t="str">
            <v> </v>
          </cell>
          <cell r="T158" t="str">
            <v> </v>
          </cell>
          <cell r="U158" t="str">
            <v> </v>
          </cell>
          <cell r="V158" t="str">
            <v>OPERADOR LOGÍSTICO</v>
          </cell>
          <cell r="W158" t="str">
            <v>OPERADOR LOGÍSTICO</v>
          </cell>
          <cell r="X158" t="str">
            <v>OPERADOR LOGÍSTICO</v>
          </cell>
          <cell r="Y158" t="str">
            <v>OPERADOR LOGÍSTICO</v>
          </cell>
          <cell r="Z158" t="str">
            <v>Estimación de precios con base en el proceso FDLSUBA-LP-013-2025 (140689) – Contrato 1000 – 2025, indexando el incremento de precios en el mercado con base en el Índice de Precios al Consumidor (IPC) para el mes de marzo de 2026, el cual fue de 5,56%.</v>
          </cell>
          <cell r="AA158" t="str">
            <v>OPERADOR LOGÍSTICO</v>
          </cell>
          <cell r="AB158" t="str">
            <v>OPERADOR LOGÍSTICO</v>
          </cell>
          <cell r="AC158" t="str">
            <v>OPERADOR LOGÍSTICO</v>
          </cell>
          <cell r="AD158" t="str">
            <v>OPERADOR LOGÍSTICO</v>
          </cell>
          <cell r="AE158" t="str">
            <v>OPERADOR LOGÍSTICO</v>
          </cell>
          <cell r="AF158">
            <v>655968.90756302525</v>
          </cell>
          <cell r="AG158">
            <v>124634.0924369748</v>
          </cell>
          <cell r="AH158">
            <v>780603</v>
          </cell>
          <cell r="AI158" t="str">
            <v>OPERADOR LOGÍSTICO</v>
          </cell>
          <cell r="AJ158" t="str">
            <v>OPERADOR LOGÍSTICO</v>
          </cell>
          <cell r="AK158" t="str">
            <v>OPERADOR LOGÍSTICO</v>
          </cell>
          <cell r="AL158" t="str">
            <v>OPERADOR LOGÍSTICO</v>
          </cell>
          <cell r="AM158" t="str">
            <v>FUNCAS</v>
          </cell>
          <cell r="AN158" t="str">
            <v>OPERADOR LOGÍSTICO</v>
          </cell>
          <cell r="AO158" t="str">
            <v>OPERADOR LOGÍSTICO</v>
          </cell>
          <cell r="AP158" t="str">
            <v>OPERADOR LOGÍSTICO</v>
          </cell>
          <cell r="AQ158">
            <v>636954</v>
          </cell>
          <cell r="AR158">
            <v>121021</v>
          </cell>
          <cell r="AS158">
            <v>757975</v>
          </cell>
          <cell r="AT158">
            <v>636954</v>
          </cell>
          <cell r="AU158">
            <v>757975</v>
          </cell>
          <cell r="AV158">
            <v>706972</v>
          </cell>
          <cell r="AW158">
            <v>706972</v>
          </cell>
          <cell r="AX158" t="str">
            <v/>
          </cell>
          <cell r="AY158">
            <v>2.0799999999999999E-2</v>
          </cell>
        </row>
        <row r="159">
          <cell r="D159" t="str">
            <v>Memoria USB 16 GB</v>
          </cell>
          <cell r="E159" t="str">
            <v>Dispositivo de almacenamiento flash con interfaz 2.0 y cuerpo de plástico resistente o metal. Posee tapa protectora o sistema retráctil y chip de memoria de alta velocidad para transferencia de archivos. Memoria USB 16 GB</v>
          </cell>
          <cell r="F159" t="str">
            <v>Unidad</v>
          </cell>
          <cell r="G159">
            <v>1</v>
          </cell>
          <cell r="H159" t="str">
            <v>Compra</v>
          </cell>
          <cell r="I159" t="str">
            <v>Luz Jimenez</v>
          </cell>
          <cell r="J159">
            <v>46080</v>
          </cell>
          <cell r="K159" t="str">
            <v>Gran papelera_Varios 11-02-2026</v>
          </cell>
          <cell r="L159" t="str">
            <v>Transcripción</v>
          </cell>
          <cell r="M159" t="str">
            <v>Gran Papelera</v>
          </cell>
          <cell r="N159">
            <v>32000</v>
          </cell>
          <cell r="O159" t="str">
            <v>IVA incluido</v>
          </cell>
          <cell r="P159" t="str">
            <v>Si tiene IVA</v>
          </cell>
          <cell r="Q159">
            <v>26890.756302521011</v>
          </cell>
          <cell r="R159">
            <v>5109.2436974789935</v>
          </cell>
          <cell r="S159">
            <v>32000</v>
          </cell>
          <cell r="T159">
            <v>32000</v>
          </cell>
          <cell r="U159">
            <v>32000</v>
          </cell>
          <cell r="V159" t="str">
            <v>Luz Jimenez</v>
          </cell>
          <cell r="W159">
            <v>46080</v>
          </cell>
          <cell r="X159" t="str">
            <v>Homecenter_MEMORIA USB FLIX 16 GB 2.0.pdf</v>
          </cell>
          <cell r="Y159" t="str">
            <v>Gestión</v>
          </cell>
          <cell r="Z159" t="str">
            <v>Hommecenter</v>
          </cell>
          <cell r="AA159">
            <v>24900</v>
          </cell>
          <cell r="AB159" t="str">
            <v>IVA incluido</v>
          </cell>
          <cell r="AC159" t="str">
            <v>Si tiene IVA</v>
          </cell>
          <cell r="AD159">
            <v>20924.36974789916</v>
          </cell>
          <cell r="AE159">
            <v>3975.6302521008411</v>
          </cell>
          <cell r="AF159">
            <v>24900</v>
          </cell>
          <cell r="AG159">
            <v>24900</v>
          </cell>
          <cell r="AH159">
            <v>24900</v>
          </cell>
          <cell r="AI159" t="str">
            <v>Luz Jimenez</v>
          </cell>
          <cell r="AJ159">
            <v>46080</v>
          </cell>
          <cell r="AK159" t="str">
            <v>Tecnonacho_Memoria USB Maxell 16GB USB 2.0.pdf</v>
          </cell>
          <cell r="AL159" t="str">
            <v>Gestión</v>
          </cell>
          <cell r="AM159" t="str">
            <v>Tecnonacho</v>
          </cell>
          <cell r="AN159">
            <v>25000</v>
          </cell>
          <cell r="AO159" t="str">
            <v>IVA incluido</v>
          </cell>
          <cell r="AP159" t="str">
            <v>Si tiene IVA</v>
          </cell>
          <cell r="AQ159">
            <v>21008.403361344539</v>
          </cell>
          <cell r="AR159">
            <v>3991.5966386554619</v>
          </cell>
          <cell r="AS159">
            <v>25000</v>
          </cell>
          <cell r="AT159">
            <v>25000</v>
          </cell>
          <cell r="AU159">
            <v>25000</v>
          </cell>
          <cell r="AV159">
            <v>27300</v>
          </cell>
          <cell r="AW159">
            <v>27300</v>
          </cell>
          <cell r="AX159">
            <v>4071</v>
          </cell>
          <cell r="AY159">
            <v>0.14912087912087901</v>
          </cell>
          <cell r="BA159">
            <v>3</v>
          </cell>
        </row>
        <row r="160">
          <cell r="D160" t="str">
            <v>Memoria USB 8 GB</v>
          </cell>
          <cell r="E160" t="str">
            <v>Dispositivo de almacenamiento flash con interfaz 2.0 y cuerpo de plástico resistente o metal. Posee tapa protectora o sistema retráctil y chip de memoria de alta velocidad para transferencia de archivos. Memoria USB 8 GB</v>
          </cell>
          <cell r="F160" t="str">
            <v>Unidad</v>
          </cell>
          <cell r="G160">
            <v>1</v>
          </cell>
          <cell r="H160" t="str">
            <v>Compra</v>
          </cell>
          <cell r="I160" t="str">
            <v>Luz Jimenez</v>
          </cell>
          <cell r="J160">
            <v>46080</v>
          </cell>
          <cell r="K160" t="str">
            <v>Papeleria Alvarez_MEMORIA USB 8GB.pdf</v>
          </cell>
          <cell r="L160" t="str">
            <v>Gestión</v>
          </cell>
          <cell r="M160" t="str">
            <v>Papeleria Alvarez</v>
          </cell>
          <cell r="N160">
            <v>18000</v>
          </cell>
          <cell r="O160" t="str">
            <v>IVA incluido</v>
          </cell>
          <cell r="P160" t="str">
            <v>Si tiene IVA</v>
          </cell>
          <cell r="Q160">
            <v>15126.050420168071</v>
          </cell>
          <cell r="R160">
            <v>2873.9495798319331</v>
          </cell>
          <cell r="S160">
            <v>18000</v>
          </cell>
          <cell r="T160">
            <v>18000</v>
          </cell>
          <cell r="U160">
            <v>18000</v>
          </cell>
          <cell r="V160" t="str">
            <v>Luz Jimenez</v>
          </cell>
          <cell r="W160">
            <v>46080</v>
          </cell>
          <cell r="X160" t="str">
            <v>INVER Y DISTRIBUIDORES DIAMOND_Varios</v>
          </cell>
          <cell r="Y160" t="str">
            <v>Transcripción</v>
          </cell>
          <cell r="Z160" t="str">
            <v>Inver y Disrtibuciones Diamond</v>
          </cell>
          <cell r="AA160">
            <v>14000</v>
          </cell>
          <cell r="AB160" t="str">
            <v>Precio sin Iva</v>
          </cell>
          <cell r="AC160" t="str">
            <v>Si tiene IVA</v>
          </cell>
          <cell r="AD160">
            <v>14000</v>
          </cell>
          <cell r="AE160">
            <v>2660</v>
          </cell>
          <cell r="AF160">
            <v>16660</v>
          </cell>
          <cell r="AG160">
            <v>14000</v>
          </cell>
          <cell r="AH160">
            <v>16660</v>
          </cell>
          <cell r="AI160" t="str">
            <v>Luz Jimenez</v>
          </cell>
          <cell r="AJ160">
            <v>46080</v>
          </cell>
          <cell r="AK160" t="str">
            <v>Papeleria Paraiso.pdf</v>
          </cell>
          <cell r="AL160" t="str">
            <v>Gestión</v>
          </cell>
          <cell r="AM160" t="str">
            <v>Papeleria Paraiso</v>
          </cell>
          <cell r="AN160">
            <v>16000</v>
          </cell>
          <cell r="AO160" t="str">
            <v>IVA incluido</v>
          </cell>
          <cell r="AP160" t="str">
            <v>Si tiene IVA</v>
          </cell>
          <cell r="AQ160">
            <v>13445.378151260509</v>
          </cell>
          <cell r="AR160">
            <v>2554.6218487394958</v>
          </cell>
          <cell r="AS160">
            <v>16000</v>
          </cell>
          <cell r="AT160">
            <v>16000</v>
          </cell>
          <cell r="AU160">
            <v>16000</v>
          </cell>
          <cell r="AV160">
            <v>16887</v>
          </cell>
          <cell r="AW160">
            <v>16887</v>
          </cell>
          <cell r="AX160">
            <v>1019</v>
          </cell>
          <cell r="AY160">
            <v>6.0342275122875599E-2</v>
          </cell>
          <cell r="BA160">
            <v>3</v>
          </cell>
        </row>
        <row r="161">
          <cell r="D161" t="str">
            <v>Mesas cuadradas</v>
          </cell>
          <cell r="E161" t="str">
            <v>Alquiler de Mesas plásticas blancas, cuadrada de 75 cms de largo X 75 cms de ancho X 70,5 cms de alto Incluye transporte, instalación y entrega en el lugar requerido.</v>
          </cell>
          <cell r="F161" t="str">
            <v>Unidad</v>
          </cell>
          <cell r="G161">
            <v>1</v>
          </cell>
          <cell r="H161" t="str">
            <v>Alquiler</v>
          </cell>
          <cell r="I161" t="str">
            <v>OPERADOR LOGÍSTICO</v>
          </cell>
          <cell r="J161" t="str">
            <v>OPERADOR LOGÍSTICO</v>
          </cell>
          <cell r="K161" t="str">
            <v>OPERADOR LOGÍSTICO</v>
          </cell>
          <cell r="L161" t="str">
            <v>OPERADOR LOGÍSTICO</v>
          </cell>
          <cell r="M161" t="str">
            <v>Estimación de precios con base en el proceso FDLSUBA-LP-013-2025 (140689) – Contrato 1000 – 2025, indexando el incremento de precios en el mercado con base en el Índice de Precios al Consumidor (IPC) para el mes de marzo de 2026, el cual fue de 5,56%.</v>
          </cell>
          <cell r="N161">
            <v>11508</v>
          </cell>
          <cell r="Q161">
            <v>11508</v>
          </cell>
          <cell r="R161">
            <v>0</v>
          </cell>
          <cell r="S161">
            <v>11508</v>
          </cell>
          <cell r="T161">
            <v>11508</v>
          </cell>
          <cell r="U161">
            <v>11508</v>
          </cell>
          <cell r="V161" t="str">
            <v>OPERADOR LOGÍSTICO</v>
          </cell>
          <cell r="W161" t="str">
            <v>OPERADOR LOGÍSTICO</v>
          </cell>
          <cell r="X161" t="str">
            <v>OPERADOR LOGÍSTICO</v>
          </cell>
          <cell r="Y161" t="str">
            <v>OPERADOR LOGÍSTICO</v>
          </cell>
          <cell r="Z161" t="str">
            <v>FUNCAS</v>
          </cell>
          <cell r="AA161">
            <v>9528</v>
          </cell>
          <cell r="AB161" t="str">
            <v>Precio sin Iva</v>
          </cell>
          <cell r="AC161" t="str">
            <v>Si tiene IVA</v>
          </cell>
          <cell r="AD161">
            <v>9528</v>
          </cell>
          <cell r="AE161">
            <v>1810.32</v>
          </cell>
          <cell r="AF161">
            <v>11338.32</v>
          </cell>
          <cell r="AG161">
            <v>9528</v>
          </cell>
          <cell r="AH161">
            <v>11338.32</v>
          </cell>
          <cell r="AV161">
            <v>11423</v>
          </cell>
          <cell r="AW161">
            <v>11423</v>
          </cell>
          <cell r="AX161">
            <v>120</v>
          </cell>
          <cell r="AY161">
            <v>1.05051212466077E-2</v>
          </cell>
          <cell r="BA161">
            <v>2</v>
          </cell>
          <cell r="BB161" t="str">
            <v>Primer ítem sin IVA</v>
          </cell>
        </row>
        <row r="162">
          <cell r="D162" t="str">
            <v>Mesas portafolio</v>
          </cell>
          <cell r="E162" t="str">
            <v>Alquiler de Mesa Portafolio Plegable 180cm  x 75 cm. Incluye transporte, instalación y entrega en el lugar requerido.</v>
          </cell>
          <cell r="F162" t="str">
            <v>Unidad</v>
          </cell>
          <cell r="G162">
            <v>1</v>
          </cell>
          <cell r="H162" t="str">
            <v>Alquiler</v>
          </cell>
          <cell r="I162" t="str">
            <v>Luz Jimenez</v>
          </cell>
          <cell r="J162">
            <v>46094</v>
          </cell>
          <cell r="K162" t="str">
            <v>D&amp;R PRODUCCIONES_LOGISTICA_VARIOS_13-03-2026.pdf</v>
          </cell>
          <cell r="L162" t="str">
            <v>Gestión</v>
          </cell>
          <cell r="M162" t="str">
            <v>D&amp;R PRODUCCIONES SAS</v>
          </cell>
          <cell r="N162">
            <v>33076</v>
          </cell>
          <cell r="O162" t="str">
            <v>Precio sin Iva</v>
          </cell>
          <cell r="P162" t="str">
            <v>Si tiene IVA</v>
          </cell>
          <cell r="Q162">
            <v>33076</v>
          </cell>
          <cell r="R162">
            <v>6284.4400000000014</v>
          </cell>
          <cell r="S162">
            <v>39360.44</v>
          </cell>
          <cell r="T162">
            <v>33076</v>
          </cell>
          <cell r="U162">
            <v>39360.44</v>
          </cell>
          <cell r="V162" t="str">
            <v>Luz Jimenez</v>
          </cell>
          <cell r="W162">
            <v>46119</v>
          </cell>
          <cell r="X162" t="str">
            <v>LOGISTBOX L&amp;L SAS.pdf</v>
          </cell>
          <cell r="Y162" t="str">
            <v>Gestión</v>
          </cell>
          <cell r="Z162" t="str">
            <v>LOGISTBOX L&amp;L SAS</v>
          </cell>
          <cell r="AA162">
            <v>31000</v>
          </cell>
          <cell r="AB162" t="str">
            <v>IVA incluido</v>
          </cell>
          <cell r="AC162" t="str">
            <v>Si tiene IVA</v>
          </cell>
          <cell r="AD162">
            <v>26050.42016806723</v>
          </cell>
          <cell r="AE162">
            <v>4949.5798319327732</v>
          </cell>
          <cell r="AF162">
            <v>31000</v>
          </cell>
          <cell r="AG162">
            <v>31000</v>
          </cell>
          <cell r="AH162">
            <v>31000</v>
          </cell>
          <cell r="AM162" t="str">
            <v>FUNCAS</v>
          </cell>
          <cell r="AN162">
            <v>27096</v>
          </cell>
          <cell r="AQ162">
            <v>27096</v>
          </cell>
          <cell r="AR162">
            <v>5148.24</v>
          </cell>
          <cell r="AS162">
            <v>32244.240000000002</v>
          </cell>
          <cell r="AT162">
            <v>27096</v>
          </cell>
          <cell r="AU162">
            <v>32244.240000000002</v>
          </cell>
          <cell r="AV162">
            <v>34202</v>
          </cell>
          <cell r="AW162">
            <v>34202</v>
          </cell>
          <cell r="AX162">
            <v>4511</v>
          </cell>
          <cell r="AY162">
            <v>0.13189287176188499</v>
          </cell>
          <cell r="BA162">
            <v>3</v>
          </cell>
        </row>
        <row r="163">
          <cell r="D163" t="str">
            <v>Mesero</v>
          </cell>
          <cell r="E163" t="str">
            <v>Servicio por evento de 4 horas</v>
          </cell>
          <cell r="F163" t="str">
            <v>SERVICIO</v>
          </cell>
          <cell r="G163">
            <v>1</v>
          </cell>
          <cell r="Q163" t="str">
            <v> </v>
          </cell>
          <cell r="R163" t="str">
            <v> </v>
          </cell>
          <cell r="S163" t="str">
            <v> </v>
          </cell>
          <cell r="T163" t="str">
            <v> </v>
          </cell>
          <cell r="U163" t="str">
            <v> </v>
          </cell>
          <cell r="V163" t="str">
            <v>OPERADOR LOGÍSTICO</v>
          </cell>
          <cell r="W163" t="str">
            <v>OPERADOR LOGÍSTICO</v>
          </cell>
          <cell r="X163" t="str">
            <v>OPERADOR LOGÍSTICO</v>
          </cell>
          <cell r="Y163" t="str">
            <v>OPERADOR LOGÍSTICO</v>
          </cell>
          <cell r="Z163" t="str">
            <v>Estimación de precios con base en el proceso FDLSUBA-LP-013-2025 (140689) – Contrato 1000 – 2025, indexando el incremento de precios en el mercado con base en el Índice de Precios al Consumidor (IPC) para el mes de marzo de 2026, el cual fue de 5,56%.</v>
          </cell>
          <cell r="AA163" t="str">
            <v>OPERADOR LOGÍSTICO</v>
          </cell>
          <cell r="AB163" t="str">
            <v>OPERADOR LOGÍSTICO</v>
          </cell>
          <cell r="AC163" t="str">
            <v>OPERADOR LOGÍSTICO</v>
          </cell>
          <cell r="AD163" t="str">
            <v>OPERADOR LOGÍSTICO</v>
          </cell>
          <cell r="AE163" t="str">
            <v>OPERADOR LOGÍSTICO</v>
          </cell>
          <cell r="AF163">
            <v>114031.0924369748</v>
          </cell>
          <cell r="AG163">
            <v>21665.907563025208</v>
          </cell>
          <cell r="AH163">
            <v>135697</v>
          </cell>
          <cell r="AI163" t="str">
            <v>OPERADOR LOGÍSTICO</v>
          </cell>
          <cell r="AJ163" t="str">
            <v>OPERADOR LOGÍSTICO</v>
          </cell>
          <cell r="AK163" t="str">
            <v>OPERADOR LOGÍSTICO</v>
          </cell>
          <cell r="AL163" t="str">
            <v>OPERADOR LOGÍSTICO</v>
          </cell>
          <cell r="AM163" t="str">
            <v>FUNCAS</v>
          </cell>
          <cell r="AN163" t="str">
            <v>OPERADOR LOGÍSTICO</v>
          </cell>
          <cell r="AO163" t="str">
            <v>OPERADOR LOGÍSTICO</v>
          </cell>
          <cell r="AP163" t="str">
            <v>OPERADOR LOGÍSTICO</v>
          </cell>
          <cell r="AQ163">
            <v>112346</v>
          </cell>
          <cell r="AR163">
            <v>21346</v>
          </cell>
          <cell r="AS163">
            <v>133692</v>
          </cell>
          <cell r="AT163">
            <v>112346</v>
          </cell>
          <cell r="AU163">
            <v>133692</v>
          </cell>
          <cell r="AV163">
            <v>123862</v>
          </cell>
          <cell r="AW163">
            <v>123862</v>
          </cell>
          <cell r="AX163" t="str">
            <v/>
          </cell>
          <cell r="AY163">
            <v>1.0500000000000001E-2</v>
          </cell>
        </row>
        <row r="164">
          <cell r="D164" t="str">
            <v>Mobiliario para +C24+C25</v>
          </cell>
          <cell r="E164" t="str">
            <v>ALQUILER MOBILIARIO PARA EVENTOS
(1) JUEGO DE TRES (3) POLTRONAS
(2) COLOR BLANCO
(3) MATERIAL SINTÉTICO
(4) DOS (2) MESAS DE CENTRO EN VIDRIO, CUADRADA O REDONDA, BASE METÁLICA,
(5) INCLUYE INSTALACIÓN, TRANSPORTE, MONTAJE Y DESMONTAJE
(5) SERVICIO POR EVENTO O DÍA</v>
          </cell>
          <cell r="F164" t="str">
            <v>SERVICIO</v>
          </cell>
          <cell r="G164">
            <v>1</v>
          </cell>
          <cell r="Q164" t="str">
            <v> </v>
          </cell>
          <cell r="R164" t="str">
            <v> </v>
          </cell>
          <cell r="S164" t="str">
            <v> </v>
          </cell>
          <cell r="T164" t="str">
            <v> </v>
          </cell>
          <cell r="U164" t="str">
            <v> </v>
          </cell>
          <cell r="V164" t="str">
            <v>OPERADOR LOGÍSTICO</v>
          </cell>
          <cell r="W164" t="str">
            <v>OPERADOR LOGÍSTICO</v>
          </cell>
          <cell r="X164" t="str">
            <v>OPERADOR LOGÍSTICO</v>
          </cell>
          <cell r="Y164" t="str">
            <v>OPERADOR LOGÍSTICO</v>
          </cell>
          <cell r="Z164" t="str">
            <v>Estimación de precios con base en el proceso FDLSUBA-LP-013-2025 (140689) – Contrato 1000 – 2025, indexando el incremento de precios en el mercado con base en el Índice de Precios al Consumidor (IPC) para el mes de marzo de 2026, el cual fue de 5,56%.</v>
          </cell>
          <cell r="AA164" t="str">
            <v>OPERADOR LOGÍSTICO</v>
          </cell>
          <cell r="AB164" t="str">
            <v>OPERADOR LOGÍSTICO</v>
          </cell>
          <cell r="AC164" t="str">
            <v>OPERADOR LOGÍSTICO</v>
          </cell>
          <cell r="AD164" t="str">
            <v>OPERADOR LOGÍSTICO</v>
          </cell>
          <cell r="AE164" t="str">
            <v>OPERADOR LOGÍSTICO</v>
          </cell>
          <cell r="AF164">
            <v>764858.82352941181</v>
          </cell>
          <cell r="AG164">
            <v>145323.17647058831</v>
          </cell>
          <cell r="AH164">
            <v>910182</v>
          </cell>
          <cell r="AI164" t="str">
            <v>OPERADOR LOGÍSTICO</v>
          </cell>
          <cell r="AJ164" t="str">
            <v>OPERADOR LOGÍSTICO</v>
          </cell>
          <cell r="AK164" t="str">
            <v>OPERADOR LOGÍSTICO</v>
          </cell>
          <cell r="AL164" t="str">
            <v>OPERADOR LOGÍSTICO</v>
          </cell>
          <cell r="AM164" t="str">
            <v>FUNCAS</v>
          </cell>
          <cell r="AN164" t="str">
            <v>OPERADOR LOGÍSTICO</v>
          </cell>
          <cell r="AO164" t="str">
            <v>OPERADOR LOGÍSTICO</v>
          </cell>
          <cell r="AP164" t="str">
            <v>OPERADOR LOGÍSTICO</v>
          </cell>
          <cell r="AQ164">
            <v>753555</v>
          </cell>
          <cell r="AR164">
            <v>143175</v>
          </cell>
          <cell r="AS164">
            <v>896731</v>
          </cell>
          <cell r="AT164">
            <v>753555</v>
          </cell>
          <cell r="AU164">
            <v>896731</v>
          </cell>
          <cell r="AV164">
            <v>830795</v>
          </cell>
          <cell r="AW164">
            <v>830795</v>
          </cell>
          <cell r="AX164" t="str">
            <v/>
          </cell>
          <cell r="AY164">
            <v>1.0500000000000001E-2</v>
          </cell>
        </row>
        <row r="165">
          <cell r="D165" t="str">
            <v>Notas Adhesivas (Post-it) - Tamaño Mini 3 x 5 cm</v>
          </cell>
          <cell r="E165" t="str">
            <v>Paquete de 100 hojas de notas adhesivas en colores surtidos. Dimensiones mínimas de 3 x 5 cm</v>
          </cell>
          <cell r="F165" t="str">
            <v>Unidad</v>
          </cell>
          <cell r="G165">
            <v>1</v>
          </cell>
          <cell r="H165" t="str">
            <v>Compra</v>
          </cell>
          <cell r="I165" t="str">
            <v>Luz Jimenez</v>
          </cell>
          <cell r="J165">
            <v>46090</v>
          </cell>
          <cell r="K165" t="str">
            <v>La Cali_Notas Adhesivas (Post-it) - Tamaño Mini 3 x 5 cm.pdf</v>
          </cell>
          <cell r="L165" t="str">
            <v>Gestión</v>
          </cell>
          <cell r="M165" t="str">
            <v>La Cali</v>
          </cell>
          <cell r="N165">
            <v>3200</v>
          </cell>
          <cell r="O165" t="str">
            <v>IVA incluido</v>
          </cell>
          <cell r="P165" t="str">
            <v>Si tiene IVA</v>
          </cell>
          <cell r="Q165">
            <v>2689.0756302521008</v>
          </cell>
          <cell r="R165">
            <v>510.92436974789922</v>
          </cell>
          <cell r="S165">
            <v>3200</v>
          </cell>
          <cell r="T165">
            <v>3200</v>
          </cell>
          <cell r="U165">
            <v>3200</v>
          </cell>
          <cell r="V165" t="str">
            <v>Luz Jimenez</v>
          </cell>
          <cell r="W165">
            <v>46090</v>
          </cell>
          <cell r="X165" t="str">
            <v>Papeleria estacion de suba_Varios</v>
          </cell>
          <cell r="Y165" t="str">
            <v>Gestión</v>
          </cell>
          <cell r="Z165" t="str">
            <v>PAPELERIA LA ESTACION DE SUBA</v>
          </cell>
          <cell r="AA165">
            <v>3200</v>
          </cell>
          <cell r="AB165" t="str">
            <v>IVA incluido</v>
          </cell>
          <cell r="AC165" t="str">
            <v>Si tiene IVA</v>
          </cell>
          <cell r="AD165">
            <v>2689.0756302521008</v>
          </cell>
          <cell r="AE165">
            <v>510.92436974789922</v>
          </cell>
          <cell r="AF165">
            <v>3200</v>
          </cell>
          <cell r="AG165">
            <v>3200</v>
          </cell>
          <cell r="AH165">
            <v>3200</v>
          </cell>
          <cell r="AI165" t="str">
            <v>Luz Jimenez</v>
          </cell>
          <cell r="AJ165">
            <v>46090</v>
          </cell>
          <cell r="AK165" t="str">
            <v>La gran papeleria_NOTAS ADHESIVAS REMOVIBLES X100 HOJAS</v>
          </cell>
          <cell r="AL165" t="str">
            <v>Gestión</v>
          </cell>
          <cell r="AM165" t="str">
            <v>La Gran Papeleria</v>
          </cell>
          <cell r="AN165">
            <v>2500</v>
          </cell>
          <cell r="AO165" t="str">
            <v>IVA incluido</v>
          </cell>
          <cell r="AP165" t="str">
            <v>Si tiene IVA</v>
          </cell>
          <cell r="AQ165">
            <v>2100.8403361344531</v>
          </cell>
          <cell r="AR165">
            <v>399.15966386554618</v>
          </cell>
          <cell r="AS165">
            <v>2500</v>
          </cell>
          <cell r="AT165">
            <v>2500</v>
          </cell>
          <cell r="AU165">
            <v>2500</v>
          </cell>
          <cell r="AV165">
            <v>2967</v>
          </cell>
          <cell r="AW165">
            <v>2967</v>
          </cell>
          <cell r="AX165">
            <v>404</v>
          </cell>
          <cell r="AY165">
            <v>0.13616447590158401</v>
          </cell>
          <cell r="BA165">
            <v>3</v>
          </cell>
        </row>
        <row r="166">
          <cell r="D166" t="str">
            <v>Notas Adhesivas (Post-it) cuadradas 5x 5 cm</v>
          </cell>
          <cell r="E166" t="str">
            <v>Bloque de 100 notas adhesivas de 5 x 5 cm (2" x 2"), fabricadas en papel de alto gramaje con acabado mate.</v>
          </cell>
          <cell r="F166" t="str">
            <v>Unidad</v>
          </cell>
          <cell r="G166">
            <v>1</v>
          </cell>
          <cell r="H166" t="str">
            <v>Compra</v>
          </cell>
          <cell r="I166" t="str">
            <v>Luz Jimenez</v>
          </cell>
          <cell r="J166">
            <v>46090</v>
          </cell>
          <cell r="K166" t="str">
            <v>Ofix_Notas Adhesivas (Post-it) cuadradas 5x 5 cm.pdf</v>
          </cell>
          <cell r="L166" t="str">
            <v>Gestión</v>
          </cell>
          <cell r="M166" t="str">
            <v>Ofix</v>
          </cell>
          <cell r="N166">
            <v>2126</v>
          </cell>
          <cell r="O166" t="str">
            <v>IVA incluido</v>
          </cell>
          <cell r="P166" t="str">
            <v>Si tiene IVA</v>
          </cell>
          <cell r="Q166">
            <v>1786.55462184874</v>
          </cell>
          <cell r="R166">
            <v>339.44537815126051</v>
          </cell>
          <cell r="S166">
            <v>2126</v>
          </cell>
          <cell r="T166">
            <v>2126</v>
          </cell>
          <cell r="U166">
            <v>2126</v>
          </cell>
          <cell r="V166" t="str">
            <v>Luz Jimenez</v>
          </cell>
          <cell r="W166">
            <v>46090</v>
          </cell>
          <cell r="X166" t="str">
            <v>La Garza_Notas Adhesivas (Post-it) cuadradas 5x 5 cm.pdf</v>
          </cell>
          <cell r="Y166" t="str">
            <v>Gestión</v>
          </cell>
          <cell r="Z166" t="str">
            <v>La Garza</v>
          </cell>
          <cell r="AA166">
            <v>2500</v>
          </cell>
          <cell r="AB166" t="str">
            <v>IVA incluido</v>
          </cell>
          <cell r="AC166" t="str">
            <v>Si tiene IVA</v>
          </cell>
          <cell r="AD166">
            <v>2100.8403361344531</v>
          </cell>
          <cell r="AE166">
            <v>399.15966386554618</v>
          </cell>
          <cell r="AF166">
            <v>2500</v>
          </cell>
          <cell r="AG166">
            <v>2100.8403361344531</v>
          </cell>
          <cell r="AH166">
            <v>2500</v>
          </cell>
          <cell r="AI166" t="str">
            <v>Luz Jimenez</v>
          </cell>
          <cell r="AJ166">
            <v>46090</v>
          </cell>
          <cell r="AK166" t="str">
            <v>DINGLI – DetalShop_NOTAS ADHESIVAS COLORES NEON 76 X 76 X 100 HJS</v>
          </cell>
          <cell r="AL166" t="str">
            <v>Transcripción</v>
          </cell>
          <cell r="AM166" t="str">
            <v>DINGLI - DETALSHOP</v>
          </cell>
          <cell r="AN166">
            <v>1785</v>
          </cell>
          <cell r="AO166" t="str">
            <v>IVA incluido</v>
          </cell>
          <cell r="AP166" t="str">
            <v>Si tiene IVA</v>
          </cell>
          <cell r="AQ166">
            <v>1500</v>
          </cell>
          <cell r="AR166">
            <v>285</v>
          </cell>
          <cell r="AS166">
            <v>1785</v>
          </cell>
          <cell r="AT166">
            <v>1785</v>
          </cell>
          <cell r="AU166">
            <v>1785</v>
          </cell>
          <cell r="AV166">
            <v>2137</v>
          </cell>
          <cell r="AW166">
            <v>2137</v>
          </cell>
          <cell r="AX166">
            <v>358</v>
          </cell>
          <cell r="AY166">
            <v>0.167524567150211</v>
          </cell>
          <cell r="BA166">
            <v>3</v>
          </cell>
        </row>
        <row r="167">
          <cell r="D167" t="str">
            <v>Octavos cartulina paquete  x 50 unidades</v>
          </cell>
          <cell r="E167" t="str">
            <v>Paquete que contiene 50 unidades de cartulina de colores surtidos, o blanca cortadas en tamaño de octavo de pliego (aprox. 25 x 35 cm).</v>
          </cell>
          <cell r="F167" t="str">
            <v>Unidad</v>
          </cell>
          <cell r="G167">
            <v>1</v>
          </cell>
          <cell r="H167" t="str">
            <v>Compra</v>
          </cell>
          <cell r="I167" t="str">
            <v>Sandra Vargas</v>
          </cell>
          <cell r="J167">
            <v>46090</v>
          </cell>
          <cell r="K167" t="str">
            <v>INVER Y DISTRIBUIDORES DIAMOND_Varios</v>
          </cell>
          <cell r="L167" t="str">
            <v>Transcripción</v>
          </cell>
          <cell r="M167" t="str">
            <v>INVER Y DISTRIBUIDORES DIAMOND</v>
          </cell>
          <cell r="N167">
            <v>6500</v>
          </cell>
          <cell r="O167" t="str">
            <v>IVA incluido</v>
          </cell>
          <cell r="P167" t="str">
            <v>Si tiene IVA</v>
          </cell>
          <cell r="Q167">
            <v>5462.1848739495799</v>
          </cell>
          <cell r="R167">
            <v>1037.8151260504201</v>
          </cell>
          <cell r="S167">
            <v>6500</v>
          </cell>
          <cell r="T167">
            <v>6500</v>
          </cell>
          <cell r="U167">
            <v>6500</v>
          </cell>
          <cell r="V167" t="str">
            <v>Sandra Vargas</v>
          </cell>
          <cell r="W167">
            <v>46090</v>
          </cell>
          <cell r="X167" t="str">
            <v>Papeleria Paraiso.pdf</v>
          </cell>
          <cell r="Y167" t="str">
            <v>Transcripción</v>
          </cell>
          <cell r="Z167" t="str">
            <v>Papeleria Paraiso</v>
          </cell>
          <cell r="AA167">
            <v>5800</v>
          </cell>
          <cell r="AB167" t="str">
            <v>IVA incluido</v>
          </cell>
          <cell r="AC167" t="str">
            <v>Si tiene IVA</v>
          </cell>
          <cell r="AD167">
            <v>4873.9495798319331</v>
          </cell>
          <cell r="AE167">
            <v>926.05042016806715</v>
          </cell>
          <cell r="AF167">
            <v>5800</v>
          </cell>
          <cell r="AG167">
            <v>4873.9495798319331</v>
          </cell>
          <cell r="AH167">
            <v>5800</v>
          </cell>
          <cell r="AI167" t="str">
            <v>Sandra Vargas</v>
          </cell>
          <cell r="AJ167">
            <v>46090</v>
          </cell>
          <cell r="AK167" t="str">
            <v>Comercializadora tj_Varios</v>
          </cell>
          <cell r="AL167" t="str">
            <v>Gestión</v>
          </cell>
          <cell r="AM167" t="str">
            <v>Comercializadora Tj</v>
          </cell>
          <cell r="AN167">
            <v>6050</v>
          </cell>
          <cell r="AO167" t="str">
            <v>Precio sin Iva</v>
          </cell>
          <cell r="AP167" t="str">
            <v>Si tiene IVA</v>
          </cell>
          <cell r="AQ167">
            <v>6050</v>
          </cell>
          <cell r="AR167">
            <v>1149.5</v>
          </cell>
          <cell r="AS167">
            <v>7199.5</v>
          </cell>
          <cell r="AT167">
            <v>6050</v>
          </cell>
          <cell r="AU167">
            <v>7199.5</v>
          </cell>
          <cell r="AV167">
            <v>6500</v>
          </cell>
          <cell r="AW167">
            <v>6500</v>
          </cell>
          <cell r="AX167">
            <v>700</v>
          </cell>
          <cell r="AY167">
            <v>0.107692307692308</v>
          </cell>
          <cell r="BA167">
            <v>3</v>
          </cell>
        </row>
        <row r="168">
          <cell r="D168" t="str">
            <v>Operario Logístico eventos masivos</v>
          </cell>
          <cell r="E168" t="str">
            <v xml:space="preserve"> LOGÍSTICO: OPERARIO CON EXPERIENCIA CERTIFICADA EN EVENTOS MÁSIVOS QUE INCLUYA DOTACIÓN DE UNIFORME Y ELEMENTOS DE BIOSEGURIDAD
(JORNADA ENTRE 6 Y HASTA 10 HORAS DÍA) </v>
          </cell>
          <cell r="F168" t="str">
            <v>SERVICIO</v>
          </cell>
          <cell r="G168">
            <v>1</v>
          </cell>
          <cell r="Q168" t="str">
            <v> </v>
          </cell>
          <cell r="R168" t="str">
            <v> </v>
          </cell>
          <cell r="S168" t="str">
            <v> </v>
          </cell>
          <cell r="T168" t="str">
            <v> </v>
          </cell>
          <cell r="U168" t="str">
            <v> </v>
          </cell>
          <cell r="V168" t="str">
            <v>OPERADOR LOGÍSTICO</v>
          </cell>
          <cell r="W168" t="str">
            <v>OPERADOR LOGÍSTICO</v>
          </cell>
          <cell r="X168" t="str">
            <v>OPERADOR LOGÍSTICO</v>
          </cell>
          <cell r="Y168" t="str">
            <v>OPERADOR LOGÍSTICO</v>
          </cell>
          <cell r="Z168" t="str">
            <v>Estimación de precios con base en el proceso FDLSUBA-LP-013-2025 (140689) – Contrato 1000 – 2025, indexando el incremento de precios en el mercado con base en el Índice de Precios al Consumidor (IPC) para el mes de marzo de 2026, el cual fue de 5,56%.</v>
          </cell>
          <cell r="AA168" t="str">
            <v>OPERADOR LOGÍSTICO</v>
          </cell>
          <cell r="AB168" t="str">
            <v>OPERADOR LOGÍSTICO</v>
          </cell>
          <cell r="AC168" t="str">
            <v>OPERADOR LOGÍSTICO</v>
          </cell>
          <cell r="AD168" t="str">
            <v>OPERADOR LOGÍSTICO</v>
          </cell>
          <cell r="AE168" t="str">
            <v>OPERADOR LOGÍSTICO</v>
          </cell>
          <cell r="AF168">
            <v>133251.26050420169</v>
          </cell>
          <cell r="AG168">
            <v>25317.73949579832</v>
          </cell>
          <cell r="AH168">
            <v>158569</v>
          </cell>
          <cell r="AI168" t="str">
            <v>OPERADOR LOGÍSTICO</v>
          </cell>
          <cell r="AJ168" t="str">
            <v>OPERADOR LOGÍSTICO</v>
          </cell>
          <cell r="AK168" t="str">
            <v>OPERADOR LOGÍSTICO</v>
          </cell>
          <cell r="AL168" t="str">
            <v>OPERADOR LOGÍSTICO</v>
          </cell>
          <cell r="AM168" t="str">
            <v>FUNCAS</v>
          </cell>
          <cell r="AN168" t="str">
            <v>OPERADOR LOGÍSTICO</v>
          </cell>
          <cell r="AO168" t="str">
            <v>OPERADOR LOGÍSTICO</v>
          </cell>
          <cell r="AP168" t="str">
            <v>OPERADOR LOGÍSTICO</v>
          </cell>
          <cell r="AQ168">
            <v>129389</v>
          </cell>
          <cell r="AR168">
            <v>24584</v>
          </cell>
          <cell r="AS168">
            <v>153972</v>
          </cell>
          <cell r="AT168">
            <v>129389</v>
          </cell>
          <cell r="AU168">
            <v>153972</v>
          </cell>
          <cell r="AV168">
            <v>143612</v>
          </cell>
          <cell r="AW168">
            <v>143612</v>
          </cell>
          <cell r="AX168" t="str">
            <v/>
          </cell>
          <cell r="AY168">
            <v>2.0799999999999999E-2</v>
          </cell>
        </row>
        <row r="169">
          <cell r="D169" t="str">
            <v>Ovillos de lana matizada 100 gr</v>
          </cell>
          <cell r="E169" t="str">
            <v>Ovillo de lana de 100 gramos con acabado matizado, colores variados</v>
          </cell>
          <cell r="F169" t="str">
            <v>Unidad</v>
          </cell>
          <cell r="G169">
            <v>1</v>
          </cell>
          <cell r="H169" t="str">
            <v>Compra</v>
          </cell>
          <cell r="I169" t="str">
            <v>Luz Jimenez</v>
          </cell>
          <cell r="J169">
            <v>46090</v>
          </cell>
          <cell r="K169" t="str">
            <v>INVER Y DISTRIBUIDORES DIAMOND_Varios</v>
          </cell>
          <cell r="L169" t="str">
            <v>Gestión</v>
          </cell>
          <cell r="M169" t="str">
            <v>INVER Y DISTRIBUIDORES DIAMOND</v>
          </cell>
          <cell r="N169">
            <v>12500</v>
          </cell>
          <cell r="O169" t="str">
            <v>Precio sin Iva</v>
          </cell>
          <cell r="P169" t="str">
            <v>Si tiene IVA</v>
          </cell>
          <cell r="Q169">
            <v>12500</v>
          </cell>
          <cell r="R169">
            <v>2375</v>
          </cell>
          <cell r="S169">
            <v>14875</v>
          </cell>
          <cell r="T169">
            <v>12500</v>
          </cell>
          <cell r="U169">
            <v>14875</v>
          </cell>
          <cell r="V169" t="str">
            <v>Luz Jimenez</v>
          </cell>
          <cell r="W169">
            <v>46090</v>
          </cell>
          <cell r="X169" t="str">
            <v>La Mina Colombia_Lana Copito 100Gr _ Color 0001 BLANCO</v>
          </cell>
          <cell r="Y169" t="str">
            <v>Gestión</v>
          </cell>
          <cell r="Z169" t="str">
            <v>La Mina Colombia</v>
          </cell>
          <cell r="AA169">
            <v>12600</v>
          </cell>
          <cell r="AB169" t="str">
            <v>IVA incluido</v>
          </cell>
          <cell r="AC169" t="str">
            <v>Si tiene IVA</v>
          </cell>
          <cell r="AD169">
            <v>10588.23529411765</v>
          </cell>
          <cell r="AE169">
            <v>2011.7647058823529</v>
          </cell>
          <cell r="AF169">
            <v>12600</v>
          </cell>
          <cell r="AG169">
            <v>12600</v>
          </cell>
          <cell r="AH169">
            <v>12600</v>
          </cell>
          <cell r="AI169" t="str">
            <v>Luz Jimenez</v>
          </cell>
          <cell r="AJ169">
            <v>46090</v>
          </cell>
          <cell r="AK169" t="str">
            <v>Entrelanas _Ovillos de lana matizada 100gr.pdf</v>
          </cell>
          <cell r="AL169" t="str">
            <v>Gestión</v>
          </cell>
          <cell r="AM169" t="str">
            <v>Entre lanas</v>
          </cell>
          <cell r="AN169">
            <v>12000</v>
          </cell>
          <cell r="AO169" t="str">
            <v>IVA incluido</v>
          </cell>
          <cell r="AP169" t="str">
            <v>Si tiene IVA</v>
          </cell>
          <cell r="AQ169">
            <v>10084.033613445379</v>
          </cell>
          <cell r="AR169">
            <v>1915.966386554622</v>
          </cell>
          <cell r="AS169">
            <v>12000</v>
          </cell>
          <cell r="AT169">
            <v>12000</v>
          </cell>
          <cell r="AU169">
            <v>12000</v>
          </cell>
          <cell r="AV169">
            <v>13158</v>
          </cell>
          <cell r="AW169">
            <v>13158</v>
          </cell>
          <cell r="AX169">
            <v>1517</v>
          </cell>
          <cell r="AY169">
            <v>0.115291077671379</v>
          </cell>
          <cell r="BA169">
            <v>3</v>
          </cell>
        </row>
        <row r="170">
          <cell r="D170" t="str">
            <v>Paletas para pintar</v>
          </cell>
          <cell r="E170" t="str">
            <v>Paleta plástica para pintar. Plástico resistente, lavable y ligero. Redonda o rectangular con cavidades para mezclar. Aprox. 20 a 25 cm de diámetro/largo.</v>
          </cell>
          <cell r="F170" t="str">
            <v>Unidad</v>
          </cell>
          <cell r="G170">
            <v>1</v>
          </cell>
          <cell r="H170" t="str">
            <v>Compra</v>
          </cell>
          <cell r="I170" t="str">
            <v>Luz Jimenez</v>
          </cell>
          <cell r="J170">
            <v>46090</v>
          </cell>
          <cell r="K170" t="str">
            <v>INVER Y DISTRIBUIDORES DIAMOND_Varios</v>
          </cell>
          <cell r="L170" t="str">
            <v>Gestión</v>
          </cell>
          <cell r="M170" t="str">
            <v>INVER Y DISTRIBUIDORES DIAMOND</v>
          </cell>
          <cell r="N170">
            <v>1000</v>
          </cell>
          <cell r="O170" t="str">
            <v>Precio sin Iva</v>
          </cell>
          <cell r="P170" t="str">
            <v>Si tiene IVA</v>
          </cell>
          <cell r="Q170">
            <v>1000</v>
          </cell>
          <cell r="R170">
            <v>190</v>
          </cell>
          <cell r="S170">
            <v>1190</v>
          </cell>
          <cell r="T170">
            <v>1000</v>
          </cell>
          <cell r="U170">
            <v>1190</v>
          </cell>
          <cell r="V170" t="str">
            <v>Luz Jimenez</v>
          </cell>
          <cell r="W170">
            <v>46090</v>
          </cell>
          <cell r="X170" t="str">
            <v>Franco Arte Colombia_Paleta para pintar .pdf</v>
          </cell>
          <cell r="Y170" t="str">
            <v>Gestión</v>
          </cell>
          <cell r="Z170" t="str">
            <v>Franco Quimica</v>
          </cell>
          <cell r="AA170">
            <v>1671</v>
          </cell>
          <cell r="AB170" t="str">
            <v>IVA incluido</v>
          </cell>
          <cell r="AC170" t="str">
            <v>Si tiene IVA</v>
          </cell>
          <cell r="AD170">
            <v>1404.20168067227</v>
          </cell>
          <cell r="AE170">
            <v>266.79831932773112</v>
          </cell>
          <cell r="AF170">
            <v>1671</v>
          </cell>
          <cell r="AG170">
            <v>1671</v>
          </cell>
          <cell r="AH170">
            <v>1671</v>
          </cell>
          <cell r="AI170" t="str">
            <v>Luz Jimenez</v>
          </cell>
          <cell r="AJ170">
            <v>46090</v>
          </cell>
          <cell r="AK170" t="str">
            <v>La cali_Paleta para pintar.pdf</v>
          </cell>
          <cell r="AL170" t="str">
            <v>Gestión</v>
          </cell>
          <cell r="AM170" t="str">
            <v>La Cali</v>
          </cell>
          <cell r="AN170">
            <v>1400</v>
          </cell>
          <cell r="AO170" t="str">
            <v>IVA incluido</v>
          </cell>
          <cell r="AP170" t="str">
            <v>Si tiene IVA</v>
          </cell>
          <cell r="AQ170">
            <v>1176.4705882352939</v>
          </cell>
          <cell r="AR170">
            <v>223.52941176470591</v>
          </cell>
          <cell r="AS170">
            <v>1400</v>
          </cell>
          <cell r="AT170">
            <v>1400</v>
          </cell>
          <cell r="AU170">
            <v>1400</v>
          </cell>
          <cell r="AV170">
            <v>1420</v>
          </cell>
          <cell r="AW170">
            <v>1420</v>
          </cell>
          <cell r="AX170">
            <v>241</v>
          </cell>
          <cell r="AY170">
            <v>0.16971830985915501</v>
          </cell>
          <cell r="BA170">
            <v>3</v>
          </cell>
        </row>
        <row r="171">
          <cell r="D171" t="str">
            <v>Palos de paleta paquetes x100 unidades</v>
          </cell>
          <cell r="E171" t="str">
            <v>Paquete de 100 unidades de palos de madera natural pulida de tamaño mediano. Dimensiones  11,5 cm de largo por 1 cm de ancho, diseñadas con bordes redondeados y una superficie lisa libre de astillas. Material seguro y biodegradable</v>
          </cell>
          <cell r="F171" t="str">
            <v>Unidad</v>
          </cell>
          <cell r="G171">
            <v>1</v>
          </cell>
          <cell r="H171" t="str">
            <v>Compra</v>
          </cell>
          <cell r="I171" t="str">
            <v>Luz Jimenez</v>
          </cell>
          <cell r="J171">
            <v>46090</v>
          </cell>
          <cell r="K171" t="str">
            <v>INVER Y DISTRIBUIDORES DIAMOND_Varios</v>
          </cell>
          <cell r="L171" t="str">
            <v>Gestión</v>
          </cell>
          <cell r="M171" t="str">
            <v>INVER Y DISTRIBUIDORES DIAMOND</v>
          </cell>
          <cell r="N171">
            <v>3600</v>
          </cell>
          <cell r="O171" t="str">
            <v>Precio sin Iva</v>
          </cell>
          <cell r="P171" t="str">
            <v>Si tiene IVA</v>
          </cell>
          <cell r="Q171">
            <v>3600</v>
          </cell>
          <cell r="R171">
            <v>684</v>
          </cell>
          <cell r="S171">
            <v>4284</v>
          </cell>
          <cell r="T171">
            <v>3600</v>
          </cell>
          <cell r="U171">
            <v>4284</v>
          </cell>
          <cell r="V171" t="str">
            <v>Luz Jimenez</v>
          </cell>
          <cell r="W171">
            <v>46090</v>
          </cell>
          <cell r="X171" t="str">
            <v>Dispropan Caribe SAS_Palos de Paleta x100und .pdf</v>
          </cell>
          <cell r="Y171" t="str">
            <v>Gestión</v>
          </cell>
          <cell r="Z171" t="str">
            <v>Dispropan Caribe sas</v>
          </cell>
          <cell r="AA171">
            <v>3000</v>
          </cell>
          <cell r="AB171" t="str">
            <v>IVA incluido</v>
          </cell>
          <cell r="AC171" t="str">
            <v>Si tiene IVA</v>
          </cell>
          <cell r="AD171">
            <v>2521.0084033613448</v>
          </cell>
          <cell r="AE171">
            <v>478.99159663865549</v>
          </cell>
          <cell r="AF171">
            <v>3000</v>
          </cell>
          <cell r="AG171">
            <v>3000</v>
          </cell>
          <cell r="AH171">
            <v>3000</v>
          </cell>
          <cell r="AI171" t="str">
            <v>Luz Jimenez</v>
          </cell>
          <cell r="AJ171">
            <v>46090</v>
          </cell>
          <cell r="AK171" t="str">
            <v>Papeleria estacion de suba_Varios</v>
          </cell>
          <cell r="AL171" t="str">
            <v>Gestión</v>
          </cell>
          <cell r="AM171" t="str">
            <v>Papeleria la estacion de suba</v>
          </cell>
          <cell r="AN171">
            <v>3500</v>
          </cell>
          <cell r="AO171" t="str">
            <v>IVA incluido</v>
          </cell>
          <cell r="AP171" t="str">
            <v>Si tiene IVA</v>
          </cell>
          <cell r="AQ171">
            <v>2941.176470588236</v>
          </cell>
          <cell r="AR171">
            <v>558.82352941176475</v>
          </cell>
          <cell r="AS171">
            <v>3500</v>
          </cell>
          <cell r="AT171">
            <v>3500</v>
          </cell>
          <cell r="AU171">
            <v>3500</v>
          </cell>
          <cell r="AV171">
            <v>3595</v>
          </cell>
          <cell r="AW171">
            <v>3595</v>
          </cell>
          <cell r="AX171">
            <v>647</v>
          </cell>
          <cell r="AY171">
            <v>0.17997218358831699</v>
          </cell>
          <cell r="BA171">
            <v>3</v>
          </cell>
        </row>
        <row r="172">
          <cell r="D172" t="str">
            <v>Palos de pincho paquete x 100 unidades</v>
          </cell>
          <cell r="E172" t="str">
            <v>Palos de pincho 25 cm paquete x 100 unidades</v>
          </cell>
          <cell r="F172" t="str">
            <v>Unidad</v>
          </cell>
          <cell r="G172">
            <v>1</v>
          </cell>
          <cell r="H172" t="str">
            <v>Compra</v>
          </cell>
          <cell r="I172" t="str">
            <v>Luz Jimenez</v>
          </cell>
          <cell r="J172">
            <v>46090</v>
          </cell>
          <cell r="K172" t="str">
            <v>INVER Y DISTRIBUIDORES DIAMOND_Varios</v>
          </cell>
          <cell r="L172" t="str">
            <v>Gestión</v>
          </cell>
          <cell r="M172" t="str">
            <v>INVER Y DISTRIBUIDORES DIAMOND</v>
          </cell>
          <cell r="N172">
            <v>3699</v>
          </cell>
          <cell r="O172" t="str">
            <v>Precio sin Iva</v>
          </cell>
          <cell r="P172" t="str">
            <v>Si tiene IVA</v>
          </cell>
          <cell r="Q172">
            <v>3699</v>
          </cell>
          <cell r="R172">
            <v>702.81000000000006</v>
          </cell>
          <cell r="S172">
            <v>4401.8100000000004</v>
          </cell>
          <cell r="T172">
            <v>3699</v>
          </cell>
          <cell r="U172">
            <v>4401.8100000000004</v>
          </cell>
          <cell r="V172" t="str">
            <v>Luz Jimenez</v>
          </cell>
          <cell r="W172">
            <v>46090</v>
          </cell>
          <cell r="X172" t="str">
            <v>Papeleria Paraiso.pdf</v>
          </cell>
          <cell r="Y172" t="str">
            <v>Gestión</v>
          </cell>
          <cell r="Z172" t="str">
            <v>Papeleria Paraiso</v>
          </cell>
          <cell r="AA172">
            <v>3900</v>
          </cell>
          <cell r="AB172" t="str">
            <v>IVA incluido</v>
          </cell>
          <cell r="AC172" t="str">
            <v>Si tiene IVA</v>
          </cell>
          <cell r="AD172">
            <v>3277.3109243697481</v>
          </cell>
          <cell r="AE172">
            <v>622.68907563025198</v>
          </cell>
          <cell r="AF172">
            <v>3900</v>
          </cell>
          <cell r="AG172">
            <v>3900</v>
          </cell>
          <cell r="AH172">
            <v>3900</v>
          </cell>
          <cell r="AI172" t="str">
            <v>Luz Jimenez</v>
          </cell>
          <cell r="AJ172">
            <v>46090</v>
          </cell>
          <cell r="AK172" t="str">
            <v>Papeleria estacion de suba_Varios</v>
          </cell>
          <cell r="AL172" t="str">
            <v>Gestión</v>
          </cell>
          <cell r="AM172" t="str">
            <v>Papeleria la estacion de suba</v>
          </cell>
          <cell r="AN172">
            <v>4500</v>
          </cell>
          <cell r="AO172" t="str">
            <v>IVA incluido</v>
          </cell>
          <cell r="AP172" t="str">
            <v>Si tiene IVA</v>
          </cell>
          <cell r="AQ172">
            <v>3781.5126050420172</v>
          </cell>
          <cell r="AR172">
            <v>718.48739495798316</v>
          </cell>
          <cell r="AS172">
            <v>4500</v>
          </cell>
          <cell r="AT172">
            <v>4500</v>
          </cell>
          <cell r="AU172">
            <v>4500</v>
          </cell>
          <cell r="AV172">
            <v>4267</v>
          </cell>
          <cell r="AW172">
            <v>4267</v>
          </cell>
          <cell r="AX172">
            <v>322</v>
          </cell>
          <cell r="AY172">
            <v>7.5462854464494994E-2</v>
          </cell>
          <cell r="BA172">
            <v>3</v>
          </cell>
        </row>
        <row r="173">
          <cell r="D173" t="str">
            <v>Papel bifaz textil rollo</v>
          </cell>
          <cell r="E173" t="str">
            <v>Rollo de papel termoadhesivo bifaz para aplicaciones textiles, disponible en calibre 10 o 12. Dimensiones de 48 cm de ancho por 10 metros de largo.</v>
          </cell>
          <cell r="F173" t="str">
            <v>Unidad</v>
          </cell>
          <cell r="G173">
            <v>1</v>
          </cell>
          <cell r="H173" t="str">
            <v>Compra</v>
          </cell>
          <cell r="I173" t="str">
            <v>Luz Jimenez</v>
          </cell>
          <cell r="J173">
            <v>46090</v>
          </cell>
          <cell r="K173" t="str">
            <v>Insublitex_PAPEL BIFAZ O DOBLE PROPÓSITO PARA APLIQUES POR METRO</v>
          </cell>
          <cell r="L173" t="str">
            <v>Gestión</v>
          </cell>
          <cell r="M173" t="str">
            <v>INSUBLITEX</v>
          </cell>
          <cell r="N173">
            <v>40000</v>
          </cell>
          <cell r="O173" t="str">
            <v>IVA incluido</v>
          </cell>
          <cell r="P173" t="str">
            <v>Si tiene IVA</v>
          </cell>
          <cell r="Q173">
            <v>33613.445378151257</v>
          </cell>
          <cell r="R173">
            <v>6386.5546218487398</v>
          </cell>
          <cell r="S173">
            <v>40000</v>
          </cell>
          <cell r="T173">
            <v>33613.445378151257</v>
          </cell>
          <cell r="U173">
            <v>40000</v>
          </cell>
          <cell r="V173" t="str">
            <v>Luz Jimenez</v>
          </cell>
          <cell r="W173">
            <v>46090</v>
          </cell>
          <cell r="X173" t="str">
            <v>AO Importaciones_Papel Bifaz.pdf</v>
          </cell>
          <cell r="Y173" t="str">
            <v>Gestión</v>
          </cell>
          <cell r="Z173" t="str">
            <v>AO Importaciones</v>
          </cell>
          <cell r="AA173">
            <v>32000</v>
          </cell>
          <cell r="AB173" t="str">
            <v>IVA incluido</v>
          </cell>
          <cell r="AC173" t="str">
            <v>Si tiene IVA</v>
          </cell>
          <cell r="AD173">
            <v>26890.756302521011</v>
          </cell>
          <cell r="AE173">
            <v>5109.2436974789935</v>
          </cell>
          <cell r="AF173">
            <v>32000</v>
          </cell>
          <cell r="AG173">
            <v>33613.445378151257</v>
          </cell>
          <cell r="AH173">
            <v>32000</v>
          </cell>
          <cell r="AI173" t="str">
            <v>Luz Jimenez</v>
          </cell>
          <cell r="AJ173">
            <v>46090</v>
          </cell>
          <cell r="AK173" t="str">
            <v>Tienda Transfer_Papel Bifaz Multiproposito .pdf</v>
          </cell>
          <cell r="AL173" t="str">
            <v>Gestión</v>
          </cell>
          <cell r="AM173" t="str">
            <v>Tienda Transfer</v>
          </cell>
          <cell r="AN173">
            <v>45000</v>
          </cell>
          <cell r="AO173" t="str">
            <v>IVA incluido</v>
          </cell>
          <cell r="AP173" t="str">
            <v>Si tiene IVA</v>
          </cell>
          <cell r="AQ173">
            <v>37815.126050420171</v>
          </cell>
          <cell r="AR173">
            <v>7184.8739495798318</v>
          </cell>
          <cell r="AS173">
            <v>45000</v>
          </cell>
          <cell r="AT173">
            <v>37815.126050420171</v>
          </cell>
          <cell r="AU173">
            <v>45000</v>
          </cell>
          <cell r="AV173">
            <v>39000</v>
          </cell>
          <cell r="AW173">
            <v>39000</v>
          </cell>
          <cell r="AX173">
            <v>6557</v>
          </cell>
          <cell r="AY173">
            <v>0.168128205128205</v>
          </cell>
          <cell r="BA173">
            <v>3</v>
          </cell>
        </row>
        <row r="174">
          <cell r="D174" t="str">
            <v>Papel Crepe pliego</v>
          </cell>
          <cell r="E174" t="str">
            <v>Lámina de papel crepé de 50 x 70 cm (medida estándar de pliego).</v>
          </cell>
          <cell r="F174" t="str">
            <v>Unidad</v>
          </cell>
          <cell r="G174">
            <v>1</v>
          </cell>
          <cell r="H174" t="str">
            <v>Compra</v>
          </cell>
          <cell r="I174" t="str">
            <v>Luz Jimenez</v>
          </cell>
          <cell r="J174">
            <v>46090</v>
          </cell>
          <cell r="K174" t="str">
            <v>La gran Papeleria_Papel crepe .pdf</v>
          </cell>
          <cell r="L174" t="str">
            <v>Gestión</v>
          </cell>
          <cell r="M174" t="str">
            <v>La Gran Papeleria</v>
          </cell>
          <cell r="N174">
            <v>900</v>
          </cell>
          <cell r="O174" t="str">
            <v>IVA incluido</v>
          </cell>
          <cell r="P174" t="str">
            <v>Si tiene IVA</v>
          </cell>
          <cell r="Q174">
            <v>756.30252100840335</v>
          </cell>
          <cell r="R174">
            <v>143.6974789915966</v>
          </cell>
          <cell r="S174">
            <v>900</v>
          </cell>
          <cell r="T174">
            <v>900</v>
          </cell>
          <cell r="U174">
            <v>900</v>
          </cell>
          <cell r="V174" t="str">
            <v>Luz Jimenez</v>
          </cell>
          <cell r="W174">
            <v>46090</v>
          </cell>
          <cell r="X174" t="str">
            <v>La Garza_Papel Crepe</v>
          </cell>
          <cell r="Y174" t="str">
            <v>Gestión</v>
          </cell>
          <cell r="Z174" t="str">
            <v>La Garza</v>
          </cell>
          <cell r="AA174">
            <v>900</v>
          </cell>
          <cell r="AB174" t="str">
            <v>IVA incluido</v>
          </cell>
          <cell r="AC174" t="str">
            <v>Si tiene IVA</v>
          </cell>
          <cell r="AD174">
            <v>756.30252100840335</v>
          </cell>
          <cell r="AE174">
            <v>143.6974789915966</v>
          </cell>
          <cell r="AF174">
            <v>900</v>
          </cell>
          <cell r="AG174">
            <v>900</v>
          </cell>
          <cell r="AH174">
            <v>900</v>
          </cell>
          <cell r="AI174" t="str">
            <v>Luz Jimenez</v>
          </cell>
          <cell r="AJ174">
            <v>46090</v>
          </cell>
          <cell r="AK174" t="str">
            <v>Papeleria estacion de suba_Varios</v>
          </cell>
          <cell r="AL174" t="str">
            <v>Gestión</v>
          </cell>
          <cell r="AM174" t="str">
            <v>PAPELERIA LA ESTACION DE SUBA</v>
          </cell>
          <cell r="AN174">
            <v>900</v>
          </cell>
          <cell r="AO174" t="str">
            <v>IVA incluido</v>
          </cell>
          <cell r="AP174" t="str">
            <v>Si tiene IVA</v>
          </cell>
          <cell r="AQ174">
            <v>756.30252100840335</v>
          </cell>
          <cell r="AR174">
            <v>143.6974789915966</v>
          </cell>
          <cell r="AS174">
            <v>900</v>
          </cell>
          <cell r="AT174">
            <v>900</v>
          </cell>
          <cell r="AU174">
            <v>900</v>
          </cell>
          <cell r="AV174">
            <v>900</v>
          </cell>
          <cell r="AW174">
            <v>900</v>
          </cell>
          <cell r="AX174">
            <v>0</v>
          </cell>
          <cell r="AY174">
            <v>0</v>
          </cell>
          <cell r="BA174">
            <v>3</v>
          </cell>
        </row>
        <row r="175">
          <cell r="D175" t="str">
            <v xml:space="preserve">Papel kraft  rollo </v>
          </cell>
          <cell r="E175" t="str">
            <v>Rollo de papel kraft con un ancho de 24 pulgadas (aprox. 61 cm) y una longitud de 150 metros. Con un gramaje de 60 g/m²</v>
          </cell>
          <cell r="F175" t="str">
            <v>Unidad</v>
          </cell>
          <cell r="G175">
            <v>1</v>
          </cell>
          <cell r="H175" t="str">
            <v>Compra</v>
          </cell>
          <cell r="I175" t="str">
            <v>Luz Jimenez</v>
          </cell>
          <cell r="J175">
            <v>46090</v>
          </cell>
          <cell r="K175" t="str">
            <v>Papeleria estacion de suba_Varios</v>
          </cell>
          <cell r="L175" t="str">
            <v>Transcripción</v>
          </cell>
          <cell r="M175" t="str">
            <v>PAPELERIA LA ESTACION DE SUBA</v>
          </cell>
          <cell r="N175">
            <v>392</v>
          </cell>
          <cell r="O175" t="str">
            <v>IVA incluido</v>
          </cell>
          <cell r="P175" t="str">
            <v>Si tiene IVA</v>
          </cell>
          <cell r="Q175">
            <v>329.41176470588238</v>
          </cell>
          <cell r="R175">
            <v>62.588235294117652</v>
          </cell>
          <cell r="S175">
            <v>392</v>
          </cell>
          <cell r="T175">
            <v>392</v>
          </cell>
          <cell r="U175">
            <v>392</v>
          </cell>
          <cell r="V175" t="str">
            <v>Luz Jimenez</v>
          </cell>
          <cell r="W175">
            <v>46090</v>
          </cell>
          <cell r="X175" t="str">
            <v>DetalShop_KRAFT 60 GRS. PLIEGO 70 X 100</v>
          </cell>
          <cell r="Y175" t="str">
            <v>Gestión</v>
          </cell>
          <cell r="Z175" t="str">
            <v>DETALSHOP</v>
          </cell>
          <cell r="AA175">
            <v>500</v>
          </cell>
          <cell r="AB175" t="str">
            <v>IVA incluido</v>
          </cell>
          <cell r="AC175" t="str">
            <v>Si tiene IVA</v>
          </cell>
          <cell r="AD175">
            <v>420.1680672268908</v>
          </cell>
          <cell r="AE175">
            <v>79.831932773109259</v>
          </cell>
          <cell r="AF175">
            <v>500.00000000000011</v>
          </cell>
          <cell r="AG175">
            <v>500</v>
          </cell>
          <cell r="AH175">
            <v>500.00000000000011</v>
          </cell>
          <cell r="AI175" t="str">
            <v>Luz Jimenez</v>
          </cell>
          <cell r="AJ175">
            <v>46090</v>
          </cell>
          <cell r="AK175" t="str">
            <v>Marion Express_PAPEL KRAFT 70X100 X60GR</v>
          </cell>
          <cell r="AL175" t="str">
            <v>Gestión</v>
          </cell>
          <cell r="AM175" t="str">
            <v>MARRION EXPRESS</v>
          </cell>
          <cell r="AN175">
            <v>590</v>
          </cell>
          <cell r="AO175" t="str">
            <v>IVA incluido</v>
          </cell>
          <cell r="AP175" t="str">
            <v>Si tiene IVA</v>
          </cell>
          <cell r="AQ175">
            <v>495.79831932773112</v>
          </cell>
          <cell r="AR175">
            <v>94.201680672268921</v>
          </cell>
          <cell r="AS175">
            <v>590</v>
          </cell>
          <cell r="AT175">
            <v>590</v>
          </cell>
          <cell r="AU175">
            <v>590</v>
          </cell>
          <cell r="AV175">
            <v>494</v>
          </cell>
          <cell r="AW175">
            <v>494</v>
          </cell>
          <cell r="AX175">
            <v>99</v>
          </cell>
          <cell r="AY175">
            <v>0.20040485829959501</v>
          </cell>
          <cell r="BA175">
            <v>3</v>
          </cell>
        </row>
        <row r="176">
          <cell r="D176" t="str">
            <v>Papel Kraft (Paquete x 25 Pliegos)</v>
          </cell>
          <cell r="E176" t="str">
            <v>Paquete de papel kraft de alta resistencia y gramaje uniforme, que contiene 25 pliegos de 100 cm x 70 cm cada uno</v>
          </cell>
          <cell r="F176" t="str">
            <v>Unidad</v>
          </cell>
          <cell r="G176">
            <v>1</v>
          </cell>
          <cell r="H176" t="str">
            <v>Compra</v>
          </cell>
          <cell r="I176" t="str">
            <v>Luz Jimenez</v>
          </cell>
          <cell r="J176">
            <v>46090</v>
          </cell>
          <cell r="K176" t="str">
            <v>INVER Y DISTRIBUIDORES DIAMOND_Varios</v>
          </cell>
          <cell r="L176" t="str">
            <v>Gestión</v>
          </cell>
          <cell r="M176" t="str">
            <v>INVER Y DISTRIBUIDORES DIAMOND</v>
          </cell>
          <cell r="N176">
            <v>6620</v>
          </cell>
          <cell r="O176" t="str">
            <v>Precio sin Iva</v>
          </cell>
          <cell r="P176" t="str">
            <v>Si tiene IVA</v>
          </cell>
          <cell r="Q176">
            <v>6620</v>
          </cell>
          <cell r="R176">
            <v>1257.8</v>
          </cell>
          <cell r="S176">
            <v>7877.8</v>
          </cell>
          <cell r="T176">
            <v>6620</v>
          </cell>
          <cell r="U176">
            <v>7877.8</v>
          </cell>
          <cell r="V176" t="str">
            <v>Luz Jimenez</v>
          </cell>
          <cell r="W176">
            <v>46090</v>
          </cell>
          <cell r="X176" t="str">
            <v>Papeleria Paraiso.pdf</v>
          </cell>
          <cell r="Y176" t="str">
            <v>Gestión</v>
          </cell>
          <cell r="Z176" t="str">
            <v>Papeleria Paraiso</v>
          </cell>
          <cell r="AA176">
            <v>6500</v>
          </cell>
          <cell r="AB176" t="str">
            <v>IVA incluido</v>
          </cell>
          <cell r="AC176" t="str">
            <v>Si tiene IVA</v>
          </cell>
          <cell r="AD176">
            <v>5462.1848739495799</v>
          </cell>
          <cell r="AE176">
            <v>1037.8151260504201</v>
          </cell>
          <cell r="AF176">
            <v>6500</v>
          </cell>
          <cell r="AG176">
            <v>6500</v>
          </cell>
          <cell r="AH176">
            <v>6500</v>
          </cell>
          <cell r="AI176" t="str">
            <v>Luz Jimenez</v>
          </cell>
          <cell r="AJ176">
            <v>46090</v>
          </cell>
          <cell r="AK176" t="str">
            <v>Papeleria la mayor_PAPEL KRAFT MANO X25 PLIEGOS.pdf</v>
          </cell>
          <cell r="AL176" t="str">
            <v>Gestión</v>
          </cell>
          <cell r="AM176" t="str">
            <v>Papeleria La Mayor</v>
          </cell>
          <cell r="AN176">
            <v>8385</v>
          </cell>
          <cell r="AO176" t="str">
            <v>IVA incluido</v>
          </cell>
          <cell r="AP176" t="str">
            <v>Si tiene IVA</v>
          </cell>
          <cell r="AQ176">
            <v>7046.2184873949582</v>
          </cell>
          <cell r="AR176">
            <v>1338.7815126050421</v>
          </cell>
          <cell r="AS176">
            <v>8385</v>
          </cell>
          <cell r="AT176">
            <v>8385</v>
          </cell>
          <cell r="AU176">
            <v>8385</v>
          </cell>
          <cell r="AV176">
            <v>7588</v>
          </cell>
          <cell r="AW176">
            <v>7588</v>
          </cell>
          <cell r="AX176">
            <v>975</v>
          </cell>
          <cell r="AY176">
            <v>0.12849235635213499</v>
          </cell>
          <cell r="BA176">
            <v>3</v>
          </cell>
        </row>
        <row r="177">
          <cell r="D177" t="str">
            <v>Papel Kraft Pliego</v>
          </cell>
          <cell r="E177" t="str">
            <v>Pliego de papel kraft de alta resistencia y gramaje uniforme, medidas 100 cm x 70 cm cada uno</v>
          </cell>
          <cell r="F177" t="str">
            <v>Unidad</v>
          </cell>
          <cell r="G177">
            <v>1</v>
          </cell>
          <cell r="H177" t="str">
            <v>Compra</v>
          </cell>
          <cell r="I177" t="str">
            <v>Luz Jimenez</v>
          </cell>
          <cell r="J177">
            <v>46090</v>
          </cell>
          <cell r="K177" t="str">
            <v>Papeleria estacion de suba_Varios</v>
          </cell>
          <cell r="L177" t="str">
            <v>Gestión</v>
          </cell>
          <cell r="M177" t="str">
            <v>PAPELERIA LA ESTACION DE SUBA</v>
          </cell>
          <cell r="N177">
            <v>600</v>
          </cell>
          <cell r="O177" t="str">
            <v>IVA incluido</v>
          </cell>
          <cell r="P177" t="str">
            <v>Si tiene IVA</v>
          </cell>
          <cell r="Q177">
            <v>504.20168067226899</v>
          </cell>
          <cell r="R177">
            <v>95.798319327731093</v>
          </cell>
          <cell r="S177">
            <v>600</v>
          </cell>
          <cell r="T177">
            <v>600</v>
          </cell>
          <cell r="U177">
            <v>600</v>
          </cell>
          <cell r="V177" t="str">
            <v>Luz Jimenez</v>
          </cell>
          <cell r="W177">
            <v>46090</v>
          </cell>
          <cell r="X177" t="str">
            <v>DetalShop_KRAFT 60 GRS. PLIEGO 70 X 100</v>
          </cell>
          <cell r="Y177" t="str">
            <v>Gestión</v>
          </cell>
          <cell r="Z177" t="str">
            <v>DETALSHOP</v>
          </cell>
          <cell r="AA177">
            <v>500</v>
          </cell>
          <cell r="AB177" t="str">
            <v>IVA incluido</v>
          </cell>
          <cell r="AC177" t="str">
            <v>Si tiene IVA</v>
          </cell>
          <cell r="AD177">
            <v>420.1680672268908</v>
          </cell>
          <cell r="AE177">
            <v>79.831932773109259</v>
          </cell>
          <cell r="AF177">
            <v>500.00000000000011</v>
          </cell>
          <cell r="AG177">
            <v>500</v>
          </cell>
          <cell r="AH177">
            <v>500.00000000000011</v>
          </cell>
          <cell r="AI177" t="str">
            <v>Luz Jimenez</v>
          </cell>
          <cell r="AJ177">
            <v>46090</v>
          </cell>
          <cell r="AK177" t="str">
            <v>Marion Express_PAPEL KRAFT 70X100 X60GR</v>
          </cell>
          <cell r="AL177" t="str">
            <v>Gestión</v>
          </cell>
          <cell r="AM177" t="str">
            <v>MARRION EXPRESS</v>
          </cell>
          <cell r="AN177">
            <v>590</v>
          </cell>
          <cell r="AO177" t="str">
            <v>IVA incluido</v>
          </cell>
          <cell r="AP177" t="str">
            <v>Si tiene IVA</v>
          </cell>
          <cell r="AQ177">
            <v>495.79831932773112</v>
          </cell>
          <cell r="AR177">
            <v>94.201680672268921</v>
          </cell>
          <cell r="AS177">
            <v>590</v>
          </cell>
          <cell r="AT177">
            <v>590</v>
          </cell>
          <cell r="AU177">
            <v>590</v>
          </cell>
          <cell r="AV177">
            <v>563</v>
          </cell>
          <cell r="AW177">
            <v>563</v>
          </cell>
          <cell r="AX177">
            <v>55</v>
          </cell>
          <cell r="AY177">
            <v>9.7690941385435104E-2</v>
          </cell>
          <cell r="BA177">
            <v>3</v>
          </cell>
        </row>
        <row r="178">
          <cell r="D178" t="str">
            <v>Papel periódico x pliego</v>
          </cell>
          <cell r="E178" t="str">
            <v>Papel Periódico 48 Gr Pliego De 70x100cm Acabado Mate *25</v>
          </cell>
          <cell r="F178" t="str">
            <v>Unidad</v>
          </cell>
          <cell r="G178">
            <v>1</v>
          </cell>
          <cell r="H178" t="str">
            <v>Compra</v>
          </cell>
          <cell r="I178" t="str">
            <v>Luz Jimenez</v>
          </cell>
          <cell r="J178">
            <v>46090</v>
          </cell>
          <cell r="K178" t="str">
            <v>Papelería Jonan_Papel periódico Pliego 70x100.pdf</v>
          </cell>
          <cell r="L178" t="str">
            <v>Gestión</v>
          </cell>
          <cell r="M178" t="str">
            <v>Papeleria Johan</v>
          </cell>
          <cell r="N178">
            <v>500</v>
          </cell>
          <cell r="O178" t="str">
            <v>IVA incluido</v>
          </cell>
          <cell r="P178" t="str">
            <v>Si tiene IVA</v>
          </cell>
          <cell r="Q178">
            <v>420.1680672268908</v>
          </cell>
          <cell r="R178">
            <v>79.831932773109259</v>
          </cell>
          <cell r="S178">
            <v>500.00000000000011</v>
          </cell>
          <cell r="T178">
            <v>500</v>
          </cell>
          <cell r="U178">
            <v>500.00000000000011</v>
          </cell>
          <cell r="V178" t="str">
            <v>Luz Jimenez</v>
          </cell>
          <cell r="W178">
            <v>46090</v>
          </cell>
          <cell r="X178" t="str">
            <v>Suescun_Papel periodico pliego 70 x 100 cm.pdf</v>
          </cell>
          <cell r="Y178" t="str">
            <v>Gestión</v>
          </cell>
          <cell r="Z178" t="str">
            <v>Suescun</v>
          </cell>
          <cell r="AA178">
            <v>410</v>
          </cell>
          <cell r="AB178" t="str">
            <v>IVA incluido</v>
          </cell>
          <cell r="AC178" t="str">
            <v>Si tiene IVA</v>
          </cell>
          <cell r="AD178">
            <v>344.53781512605042</v>
          </cell>
          <cell r="AE178">
            <v>65.462184873949582</v>
          </cell>
          <cell r="AF178">
            <v>410</v>
          </cell>
          <cell r="AG178">
            <v>410</v>
          </cell>
          <cell r="AH178">
            <v>410</v>
          </cell>
          <cell r="AI178" t="str">
            <v>Luz Jimenez</v>
          </cell>
          <cell r="AJ178">
            <v>46090</v>
          </cell>
          <cell r="AK178" t="str">
            <v>Papeleria estacion de suba_Varios</v>
          </cell>
          <cell r="AL178" t="str">
            <v>Gestión</v>
          </cell>
          <cell r="AM178" t="str">
            <v>PAPELERIA LA ESTACION DE SUBA</v>
          </cell>
          <cell r="AN178">
            <v>500</v>
          </cell>
          <cell r="AO178" t="str">
            <v>IVA incluido</v>
          </cell>
          <cell r="AP178" t="str">
            <v>Si tiene IVA</v>
          </cell>
          <cell r="AQ178">
            <v>420.1680672268908</v>
          </cell>
          <cell r="AR178">
            <v>79.831932773109259</v>
          </cell>
          <cell r="AS178">
            <v>500.00000000000011</v>
          </cell>
          <cell r="AT178">
            <v>500</v>
          </cell>
          <cell r="AU178">
            <v>500.00000000000011</v>
          </cell>
          <cell r="AV178">
            <v>470</v>
          </cell>
          <cell r="AW178">
            <v>470</v>
          </cell>
          <cell r="AX178">
            <v>52</v>
          </cell>
          <cell r="AY178">
            <v>0.11063829787234</v>
          </cell>
          <cell r="BA178">
            <v>3</v>
          </cell>
        </row>
        <row r="179">
          <cell r="D179" t="str">
            <v>Pegante  en barra 40 gr.</v>
          </cell>
          <cell r="E179" t="str">
            <v>Adhesivo sólido en barra de 40 gramos, formulado para un secado rápido y limpio. Producto no tóxico, lavable y libre de solventes</v>
          </cell>
          <cell r="F179" t="str">
            <v>Unidad</v>
          </cell>
          <cell r="G179">
            <v>1</v>
          </cell>
          <cell r="H179" t="str">
            <v>Compra</v>
          </cell>
          <cell r="I179" t="str">
            <v>Luz Jimenez</v>
          </cell>
          <cell r="J179">
            <v>46090</v>
          </cell>
          <cell r="K179" t="str">
            <v>INVER Y DISTRIBUIDORES DIAMOND_Varios</v>
          </cell>
          <cell r="L179" t="str">
            <v>Gestión</v>
          </cell>
          <cell r="M179" t="str">
            <v>INVER Y DISTRIBUIDORES DIAMOND</v>
          </cell>
          <cell r="N179">
            <v>2700</v>
          </cell>
          <cell r="O179" t="str">
            <v>Precio sin Iva</v>
          </cell>
          <cell r="P179" t="str">
            <v>Si tiene IVA</v>
          </cell>
          <cell r="Q179">
            <v>2700</v>
          </cell>
          <cell r="R179">
            <v>513</v>
          </cell>
          <cell r="S179">
            <v>3213</v>
          </cell>
          <cell r="T179">
            <v>2700</v>
          </cell>
          <cell r="U179">
            <v>3213</v>
          </cell>
          <cell r="V179" t="str">
            <v>Luz Jimenez</v>
          </cell>
          <cell r="W179">
            <v>46090</v>
          </cell>
          <cell r="X179" t="str">
            <v>Suescun_Pegante en Barra Sipega 40gr 🧴!.pdf</v>
          </cell>
          <cell r="Y179" t="str">
            <v>Gestión</v>
          </cell>
          <cell r="Z179" t="str">
            <v>Suescun</v>
          </cell>
          <cell r="AA179">
            <v>3500</v>
          </cell>
          <cell r="AB179" t="str">
            <v>IVA incluido</v>
          </cell>
          <cell r="AC179" t="str">
            <v>Si tiene IVA</v>
          </cell>
          <cell r="AD179">
            <v>2941.176470588236</v>
          </cell>
          <cell r="AE179">
            <v>558.82352941176475</v>
          </cell>
          <cell r="AF179">
            <v>3500</v>
          </cell>
          <cell r="AG179">
            <v>3500</v>
          </cell>
          <cell r="AH179">
            <v>3500</v>
          </cell>
          <cell r="AI179" t="str">
            <v>Luz Jimenez</v>
          </cell>
          <cell r="AJ179">
            <v>46090</v>
          </cell>
          <cell r="AK179" t="str">
            <v>DetalShop_PEGANTE EN BARRA 40 GRS.pdf</v>
          </cell>
          <cell r="AL179" t="str">
            <v>Gestión</v>
          </cell>
          <cell r="AM179" t="str">
            <v>Detal shop</v>
          </cell>
          <cell r="AN179">
            <v>2618</v>
          </cell>
          <cell r="AO179" t="str">
            <v>IVA incluido</v>
          </cell>
          <cell r="AP179" t="str">
            <v>Si tiene IVA</v>
          </cell>
          <cell r="AQ179">
            <v>2200</v>
          </cell>
          <cell r="AR179">
            <v>418</v>
          </cell>
          <cell r="AS179">
            <v>2618</v>
          </cell>
          <cell r="AT179">
            <v>2618</v>
          </cell>
          <cell r="AU179">
            <v>2618</v>
          </cell>
          <cell r="AV179">
            <v>3110</v>
          </cell>
          <cell r="AW179">
            <v>3110</v>
          </cell>
          <cell r="AX179">
            <v>450</v>
          </cell>
          <cell r="AY179">
            <v>0.14469453376205799</v>
          </cell>
          <cell r="BA179">
            <v>3</v>
          </cell>
        </row>
        <row r="180">
          <cell r="D180" t="str">
            <v>Pegante liquido por 1.000 cc</v>
          </cell>
          <cell r="E180" t="str">
            <v>Colbon-Pegante-Liquido-UniversalVolumen de la unidad 1.000 cc Con Tapa dosificadora - esparcidora con  cierre anti secado, no deja arrugas, lavable e inofensivo a la piel.  Coloreable en cualquier pigmento</v>
          </cell>
          <cell r="F180" t="str">
            <v>Unidad</v>
          </cell>
          <cell r="G180">
            <v>1</v>
          </cell>
          <cell r="H180" t="str">
            <v>Compra</v>
          </cell>
          <cell r="I180" t="str">
            <v>Luz Jimenez</v>
          </cell>
          <cell r="J180">
            <v>46090</v>
          </cell>
          <cell r="K180" t="str">
            <v>INVER Y DISTRIBUIDORES DIAMOND_Varios</v>
          </cell>
          <cell r="L180" t="str">
            <v>Gestión</v>
          </cell>
          <cell r="M180" t="str">
            <v>INVER Y DISTRIBUIDORES DIAMOND</v>
          </cell>
          <cell r="N180">
            <v>13000</v>
          </cell>
          <cell r="O180" t="str">
            <v>Precio sin Iva</v>
          </cell>
          <cell r="P180" t="str">
            <v>Si tiene IVA</v>
          </cell>
          <cell r="Q180">
            <v>13000</v>
          </cell>
          <cell r="R180">
            <v>2470</v>
          </cell>
          <cell r="S180">
            <v>15470</v>
          </cell>
          <cell r="T180">
            <v>13000</v>
          </cell>
          <cell r="U180">
            <v>15470</v>
          </cell>
          <cell r="V180" t="str">
            <v>Luz Jimenez</v>
          </cell>
          <cell r="W180">
            <v>46090</v>
          </cell>
          <cell r="X180" t="str">
            <v>Papeleria estacion de suba_Varios</v>
          </cell>
          <cell r="Y180" t="str">
            <v>Gestión</v>
          </cell>
          <cell r="Z180" t="str">
            <v>PAPELERIA LA ESTACION DE SUBA</v>
          </cell>
          <cell r="AA180">
            <v>16200</v>
          </cell>
          <cell r="AB180" t="str">
            <v>IVA incluido</v>
          </cell>
          <cell r="AC180" t="str">
            <v>Si tiene IVA</v>
          </cell>
          <cell r="AD180">
            <v>13613.44537815126</v>
          </cell>
          <cell r="AE180">
            <v>2586.5546218487389</v>
          </cell>
          <cell r="AF180">
            <v>16200</v>
          </cell>
          <cell r="AG180">
            <v>16200</v>
          </cell>
          <cell r="AH180">
            <v>16200</v>
          </cell>
          <cell r="AI180" t="str">
            <v>Luz Jimenez</v>
          </cell>
          <cell r="AJ180">
            <v>46090</v>
          </cell>
          <cell r="AK180" t="str">
            <v>papeleriaeditorialzapata_PEGANTE RAPID KILO.pdf</v>
          </cell>
          <cell r="AL180" t="str">
            <v>Gestión</v>
          </cell>
          <cell r="AM180" t="str">
            <v>Editorial Zapata</v>
          </cell>
          <cell r="AN180">
            <v>16800</v>
          </cell>
          <cell r="AO180" t="str">
            <v>IVA incluido</v>
          </cell>
          <cell r="AP180" t="str">
            <v>Si tiene IVA</v>
          </cell>
          <cell r="AQ180">
            <v>14117.64705882353</v>
          </cell>
          <cell r="AR180">
            <v>2682.3529411764712</v>
          </cell>
          <cell r="AS180">
            <v>16800</v>
          </cell>
          <cell r="AT180">
            <v>16800</v>
          </cell>
          <cell r="AU180">
            <v>16800</v>
          </cell>
          <cell r="AV180">
            <v>16157</v>
          </cell>
          <cell r="AW180">
            <v>16157</v>
          </cell>
          <cell r="AX180">
            <v>666</v>
          </cell>
          <cell r="AY180">
            <v>4.1220523612056699E-2</v>
          </cell>
          <cell r="BA180">
            <v>3</v>
          </cell>
        </row>
        <row r="181">
          <cell r="D181" t="str">
            <v>Pegante liquido por 225 cc</v>
          </cell>
          <cell r="E181" t="str">
            <v>Colbon-Pegante-Liquido-UniversalVolumen de la unidad 225 cc Con Tapa dosificadora - esparcidora con  cierre anti secado, no deja arrugas, lavable e inofensivo a la piel.  Coloreable en cualquier pigmento</v>
          </cell>
          <cell r="F181" t="str">
            <v>Unidad</v>
          </cell>
          <cell r="G181">
            <v>1</v>
          </cell>
          <cell r="H181" t="str">
            <v>Compra</v>
          </cell>
          <cell r="I181" t="str">
            <v>Luz Jimenez</v>
          </cell>
          <cell r="J181">
            <v>46090</v>
          </cell>
          <cell r="K181" t="str">
            <v>Tauro_Pegante Liquido Escolar Blanco X 225 grs.pdf</v>
          </cell>
          <cell r="L181" t="str">
            <v>Gestión</v>
          </cell>
          <cell r="M181" t="str">
            <v>Tauro</v>
          </cell>
          <cell r="N181">
            <v>6600</v>
          </cell>
          <cell r="O181" t="str">
            <v>Precio sin Iva</v>
          </cell>
          <cell r="P181" t="str">
            <v>Si tiene IVA</v>
          </cell>
          <cell r="Q181">
            <v>6600</v>
          </cell>
          <cell r="R181">
            <v>1254</v>
          </cell>
          <cell r="S181">
            <v>7854</v>
          </cell>
          <cell r="T181">
            <v>6600</v>
          </cell>
          <cell r="U181">
            <v>7854</v>
          </cell>
          <cell r="V181" t="str">
            <v>Luz Jimenez</v>
          </cell>
          <cell r="W181">
            <v>46090</v>
          </cell>
          <cell r="X181" t="str">
            <v>Papeleria Paraiso.pdf</v>
          </cell>
          <cell r="Y181" t="str">
            <v>Gestión</v>
          </cell>
          <cell r="Z181" t="str">
            <v>Papeleria Paraiso</v>
          </cell>
          <cell r="AA181">
            <v>7900</v>
          </cell>
          <cell r="AB181" t="str">
            <v>IVA incluido</v>
          </cell>
          <cell r="AC181" t="str">
            <v>Si tiene IVA</v>
          </cell>
          <cell r="AD181">
            <v>6638.6554621848736</v>
          </cell>
          <cell r="AE181">
            <v>1261.3445378151259</v>
          </cell>
          <cell r="AF181">
            <v>7900.0000000000009</v>
          </cell>
          <cell r="AG181">
            <v>7900</v>
          </cell>
          <cell r="AH181">
            <v>7900.0000000000009</v>
          </cell>
          <cell r="AI181" t="str">
            <v>Luz Jimenez</v>
          </cell>
          <cell r="AJ181">
            <v>46090</v>
          </cell>
          <cell r="AK181" t="str">
            <v>Adal_Pegante Líquido Tesa 240ml.pdf</v>
          </cell>
          <cell r="AL181" t="str">
            <v>Gestión</v>
          </cell>
          <cell r="AM181" t="str">
            <v>Adal</v>
          </cell>
          <cell r="AN181">
            <v>6500</v>
          </cell>
          <cell r="AO181" t="str">
            <v>IVA incluido</v>
          </cell>
          <cell r="AP181" t="str">
            <v>Si tiene IVA</v>
          </cell>
          <cell r="AQ181">
            <v>5462.1848739495799</v>
          </cell>
          <cell r="AR181">
            <v>1037.8151260504201</v>
          </cell>
          <cell r="AS181">
            <v>6500</v>
          </cell>
          <cell r="AT181">
            <v>6500</v>
          </cell>
          <cell r="AU181">
            <v>6500</v>
          </cell>
          <cell r="AV181">
            <v>7418</v>
          </cell>
          <cell r="AW181">
            <v>7418</v>
          </cell>
          <cell r="AX181">
            <v>795</v>
          </cell>
          <cell r="AY181">
            <v>0.10717174440549999</v>
          </cell>
          <cell r="BA181">
            <v>3</v>
          </cell>
        </row>
        <row r="182">
          <cell r="D182" t="str">
            <v>Pendón Araña</v>
          </cell>
          <cell r="E182" t="str">
            <v>Gráfica impresa en gran formato 4x0 en lona o PVC con medidas de 1mt x 2 mts, con estructura en aluminio.</v>
          </cell>
          <cell r="F182" t="str">
            <v>Unidad</v>
          </cell>
          <cell r="G182">
            <v>1</v>
          </cell>
          <cell r="H182" t="str">
            <v>Compra</v>
          </cell>
          <cell r="I182" t="str">
            <v>Carol López</v>
          </cell>
          <cell r="J182">
            <v>46070</v>
          </cell>
          <cell r="K182" t="str">
            <v>Dicoes _ varios 12-02-2026</v>
          </cell>
          <cell r="L182" t="str">
            <v>Gestión</v>
          </cell>
          <cell r="M182" t="str">
            <v>DICOES GRUPÓ PUBLICITARIO SAS</v>
          </cell>
          <cell r="N182">
            <v>240000</v>
          </cell>
          <cell r="O182" t="str">
            <v>Precio sin Iva</v>
          </cell>
          <cell r="P182" t="str">
            <v>Si tiene IVA</v>
          </cell>
          <cell r="Q182">
            <v>240000</v>
          </cell>
          <cell r="R182">
            <v>45600</v>
          </cell>
          <cell r="S182">
            <v>285600</v>
          </cell>
          <cell r="T182">
            <v>240000</v>
          </cell>
          <cell r="U182">
            <v>285600</v>
          </cell>
          <cell r="V182" t="str">
            <v>Carol López</v>
          </cell>
          <cell r="W182">
            <v>46070</v>
          </cell>
          <cell r="X182" t="str">
            <v>Inventiva_varios 17-02-2026.pdf</v>
          </cell>
          <cell r="Y182" t="str">
            <v>Gestión</v>
          </cell>
          <cell r="Z182" t="str">
            <v>INVENTIVA</v>
          </cell>
          <cell r="AA182">
            <v>220000</v>
          </cell>
          <cell r="AB182" t="str">
            <v>Precio sin Iva</v>
          </cell>
          <cell r="AC182" t="str">
            <v>Si tiene IVA</v>
          </cell>
          <cell r="AD182">
            <v>220000</v>
          </cell>
          <cell r="AE182">
            <v>41800</v>
          </cell>
          <cell r="AF182">
            <v>261800</v>
          </cell>
          <cell r="AG182">
            <v>220000</v>
          </cell>
          <cell r="AH182">
            <v>261800</v>
          </cell>
          <cell r="AI182" t="str">
            <v>Carol López</v>
          </cell>
          <cell r="AJ182">
            <v>46071</v>
          </cell>
          <cell r="AK182" t="str">
            <v>SGD_ VARIOS 19-02-2026 SAS</v>
          </cell>
          <cell r="AL182" t="str">
            <v>Transcripción</v>
          </cell>
          <cell r="AM182" t="str">
            <v>SG DIGITAL S.A.S</v>
          </cell>
          <cell r="AN182">
            <v>290000</v>
          </cell>
          <cell r="AO182" t="str">
            <v>IVA incluido</v>
          </cell>
          <cell r="AP182" t="str">
            <v>Si tiene IVA</v>
          </cell>
          <cell r="AQ182">
            <v>243697.47899159661</v>
          </cell>
          <cell r="AR182">
            <v>46302.521008403361</v>
          </cell>
          <cell r="AS182">
            <v>290000</v>
          </cell>
          <cell r="AT182">
            <v>290000</v>
          </cell>
          <cell r="AU182">
            <v>290000</v>
          </cell>
          <cell r="AV182">
            <v>279133</v>
          </cell>
          <cell r="AW182">
            <v>279133</v>
          </cell>
          <cell r="AX182">
            <v>15171</v>
          </cell>
          <cell r="AY182">
            <v>5.4350435097247497E-2</v>
          </cell>
          <cell r="AZ182" t="str">
            <v>SE REVISAN LOS LINK Y LOS PRECIOS 05-05-2026</v>
          </cell>
          <cell r="BA182">
            <v>3</v>
          </cell>
        </row>
        <row r="183">
          <cell r="D183" t="str">
            <v>Pendón con tubos</v>
          </cell>
          <cell r="E183" t="str">
            <v>Gráfica impresa en gran formato 4x0 en lona o PVC con medidas de 1mt x 2 mts, con tubo superior e inferior</v>
          </cell>
          <cell r="F183" t="str">
            <v>Unidad</v>
          </cell>
          <cell r="G183">
            <v>1</v>
          </cell>
          <cell r="H183" t="str">
            <v>Compra</v>
          </cell>
          <cell r="I183" t="str">
            <v>Carol López</v>
          </cell>
          <cell r="J183">
            <v>46070</v>
          </cell>
          <cell r="K183" t="str">
            <v>Dicoes _ varios 12-02-2026</v>
          </cell>
          <cell r="L183" t="str">
            <v>Gestión</v>
          </cell>
          <cell r="M183" t="str">
            <v>DICOES GRUPÓ PUBLICITARIO SAS</v>
          </cell>
          <cell r="N183">
            <v>80000</v>
          </cell>
          <cell r="O183" t="str">
            <v>Precio sin Iva</v>
          </cell>
          <cell r="P183" t="str">
            <v>Si tiene IVA</v>
          </cell>
          <cell r="Q183">
            <v>80000</v>
          </cell>
          <cell r="R183">
            <v>15200</v>
          </cell>
          <cell r="S183">
            <v>95200</v>
          </cell>
          <cell r="T183">
            <v>80000</v>
          </cell>
          <cell r="U183">
            <v>95200</v>
          </cell>
          <cell r="V183" t="str">
            <v>Carol López</v>
          </cell>
          <cell r="W183">
            <v>46070</v>
          </cell>
          <cell r="X183" t="str">
            <v>Nexus_varios 16-02-2026</v>
          </cell>
          <cell r="Y183" t="str">
            <v>Gestión</v>
          </cell>
          <cell r="Z183" t="str">
            <v>NEXUS ESTUDIO GRÁFICOS</v>
          </cell>
          <cell r="AA183">
            <v>75000</v>
          </cell>
          <cell r="AB183" t="str">
            <v>Precio sin Iva</v>
          </cell>
          <cell r="AC183" t="str">
            <v>Si tiene IVA</v>
          </cell>
          <cell r="AD183">
            <v>75000</v>
          </cell>
          <cell r="AE183">
            <v>14250</v>
          </cell>
          <cell r="AF183">
            <v>89250</v>
          </cell>
          <cell r="AG183">
            <v>75000</v>
          </cell>
          <cell r="AH183">
            <v>89250</v>
          </cell>
          <cell r="AI183" t="str">
            <v>Carol López</v>
          </cell>
          <cell r="AJ183">
            <v>46070</v>
          </cell>
          <cell r="AK183" t="str">
            <v>Inventiva_varios 17-02-2026.pdf</v>
          </cell>
          <cell r="AL183" t="str">
            <v>Gestión</v>
          </cell>
          <cell r="AM183" t="str">
            <v>INVENTIVA</v>
          </cell>
          <cell r="AN183">
            <v>90000</v>
          </cell>
          <cell r="AO183" t="str">
            <v>Precio sin Iva</v>
          </cell>
          <cell r="AP183" t="str">
            <v>Si tiene IVA</v>
          </cell>
          <cell r="AQ183">
            <v>90000</v>
          </cell>
          <cell r="AR183">
            <v>17100</v>
          </cell>
          <cell r="AS183">
            <v>107100</v>
          </cell>
          <cell r="AT183">
            <v>90000</v>
          </cell>
          <cell r="AU183">
            <v>107100</v>
          </cell>
          <cell r="AV183">
            <v>97183</v>
          </cell>
          <cell r="AW183">
            <v>97183</v>
          </cell>
          <cell r="AX183">
            <v>9089</v>
          </cell>
          <cell r="AY183">
            <v>9.3524587633639605E-2</v>
          </cell>
          <cell r="BA183">
            <v>3</v>
          </cell>
        </row>
        <row r="184">
          <cell r="D184" t="str">
            <v>Pendón Enrollable o Roll -Up</v>
          </cell>
          <cell r="E184" t="str">
            <v>Gráfica impresa en gran formato 4x0 en lona o PVC con medidas de 1mt x 2 mts con base de aluminio y estuche que permite almacenarlo y transportarlo</v>
          </cell>
          <cell r="F184" t="str">
            <v>Unidad</v>
          </cell>
          <cell r="G184">
            <v>1</v>
          </cell>
          <cell r="H184" t="str">
            <v>Compra</v>
          </cell>
          <cell r="I184" t="str">
            <v>Carol López</v>
          </cell>
          <cell r="J184">
            <v>46070</v>
          </cell>
          <cell r="K184" t="str">
            <v>Dicoes _ varios 12-02-2026</v>
          </cell>
          <cell r="L184" t="str">
            <v>Gestión</v>
          </cell>
          <cell r="M184" t="str">
            <v>DICOES GRUPÓ PUBLICITARIO SAS</v>
          </cell>
          <cell r="N184">
            <v>240000</v>
          </cell>
          <cell r="O184" t="str">
            <v>Precio sin Iva</v>
          </cell>
          <cell r="P184" t="str">
            <v>Si tiene IVA</v>
          </cell>
          <cell r="Q184">
            <v>240000</v>
          </cell>
          <cell r="R184">
            <v>45600</v>
          </cell>
          <cell r="S184">
            <v>285600</v>
          </cell>
          <cell r="T184">
            <v>240000</v>
          </cell>
          <cell r="U184">
            <v>285600</v>
          </cell>
          <cell r="V184" t="str">
            <v>Carol López</v>
          </cell>
          <cell r="W184">
            <v>46070</v>
          </cell>
          <cell r="X184" t="str">
            <v>Nexus_varios 16-02-2026</v>
          </cell>
          <cell r="Y184" t="str">
            <v>Gestión</v>
          </cell>
          <cell r="Z184" t="str">
            <v>NEXUS ESTUDIO GRÁFICOS</v>
          </cell>
          <cell r="AA184">
            <v>200000</v>
          </cell>
          <cell r="AB184" t="str">
            <v>Precio sin Iva</v>
          </cell>
          <cell r="AC184" t="str">
            <v>Si tiene IVA</v>
          </cell>
          <cell r="AD184">
            <v>200000</v>
          </cell>
          <cell r="AE184">
            <v>38000</v>
          </cell>
          <cell r="AF184">
            <v>238000</v>
          </cell>
          <cell r="AG184">
            <v>200000</v>
          </cell>
          <cell r="AH184">
            <v>238000</v>
          </cell>
          <cell r="AI184" t="str">
            <v>Carol López</v>
          </cell>
          <cell r="AJ184">
            <v>46071</v>
          </cell>
          <cell r="AK184" t="str">
            <v>ANGIE PACHÓN _VARIOS 19-02-2026.pdf</v>
          </cell>
          <cell r="AL184" t="str">
            <v>Gestión</v>
          </cell>
          <cell r="AM184" t="str">
            <v>Angie Pachon (personalizado INK)</v>
          </cell>
          <cell r="AN184">
            <v>245000</v>
          </cell>
          <cell r="AO184" t="str">
            <v>Precio sin Iva</v>
          </cell>
          <cell r="AP184" t="str">
            <v>No tiene IVA</v>
          </cell>
          <cell r="AQ184">
            <v>245000</v>
          </cell>
          <cell r="AR184">
            <v>0</v>
          </cell>
          <cell r="AS184">
            <v>245000</v>
          </cell>
          <cell r="AT184">
            <v>245000</v>
          </cell>
          <cell r="AU184">
            <v>245000</v>
          </cell>
          <cell r="AV184">
            <v>256200</v>
          </cell>
          <cell r="AW184">
            <v>256200</v>
          </cell>
          <cell r="AX184">
            <v>25701</v>
          </cell>
          <cell r="AY184">
            <v>0.100316159250585</v>
          </cell>
          <cell r="BA184">
            <v>3</v>
          </cell>
          <cell r="BB184" t="str">
            <v>Tercer ítem sin IVA</v>
          </cell>
        </row>
        <row r="185">
          <cell r="D185" t="str">
            <v>Persona primeros auxilios</v>
          </cell>
          <cell r="E185" t="str">
            <v>PERSONAL DE PRIMEROS AUXILIOS (AUXILIARES DE ENFERMERÍA)
(JORNADA ENTRE 5 Y HASTA 10 HORAS DÍA).</v>
          </cell>
          <cell r="F185" t="str">
            <v>SERVICIO</v>
          </cell>
          <cell r="G185">
            <v>1</v>
          </cell>
          <cell r="Q185" t="str">
            <v> </v>
          </cell>
          <cell r="R185" t="str">
            <v> </v>
          </cell>
          <cell r="S185" t="str">
            <v> </v>
          </cell>
          <cell r="T185" t="str">
            <v> </v>
          </cell>
          <cell r="U185" t="str">
            <v> </v>
          </cell>
          <cell r="V185" t="str">
            <v>OPERADOR LOGÍSTICO</v>
          </cell>
          <cell r="W185" t="str">
            <v>OPERADOR LOGÍSTICO</v>
          </cell>
          <cell r="X185" t="str">
            <v>OPERADOR LOGÍSTICO</v>
          </cell>
          <cell r="Y185" t="str">
            <v>OPERADOR LOGÍSTICO</v>
          </cell>
          <cell r="Z185" t="str">
            <v>Estimación de precios con base en el proceso FDLSUBA-LP-013-2025 (140689) – Contrato 1000 – 2025, indexando el incremento de precios en el mercado con base en el Índice de Precios al Consumidor (IPC) para el mes de marzo de 2026, el cual fue de 5,56%.</v>
          </cell>
          <cell r="AA185" t="str">
            <v>OPERADOR LOGÍSTICO</v>
          </cell>
          <cell r="AB185" t="str">
            <v>OPERADOR LOGÍSTICO</v>
          </cell>
          <cell r="AC185" t="str">
            <v>OPERADOR LOGÍSTICO</v>
          </cell>
          <cell r="AD185" t="str">
            <v>OPERADOR LOGÍSTICO</v>
          </cell>
          <cell r="AE185" t="str">
            <v>OPERADOR LOGÍSTICO</v>
          </cell>
          <cell r="AF185">
            <v>241626.05042016809</v>
          </cell>
          <cell r="AG185">
            <v>45908.94957983194</v>
          </cell>
          <cell r="AH185">
            <v>287535</v>
          </cell>
          <cell r="AI185" t="str">
            <v>OPERADOR LOGÍSTICO</v>
          </cell>
          <cell r="AJ185" t="str">
            <v>OPERADOR LOGÍSTICO</v>
          </cell>
          <cell r="AK185" t="str">
            <v>OPERADOR LOGÍSTICO</v>
          </cell>
          <cell r="AL185" t="str">
            <v>OPERADOR LOGÍSTICO</v>
          </cell>
          <cell r="AM185" t="str">
            <v>FUNCAS</v>
          </cell>
          <cell r="AN185" t="str">
            <v>OPERADOR LOGÍSTICO</v>
          </cell>
          <cell r="AO185" t="str">
            <v>OPERADOR LOGÍSTICO</v>
          </cell>
          <cell r="AP185" t="str">
            <v>OPERADOR LOGÍSTICO</v>
          </cell>
          <cell r="AQ185">
            <v>234622</v>
          </cell>
          <cell r="AR185">
            <v>44578</v>
          </cell>
          <cell r="AS185">
            <v>279200</v>
          </cell>
          <cell r="AT185">
            <v>234622</v>
          </cell>
          <cell r="AU185">
            <v>279200</v>
          </cell>
          <cell r="AV185">
            <v>260413</v>
          </cell>
          <cell r="AW185">
            <v>260413</v>
          </cell>
          <cell r="AX185" t="str">
            <v/>
          </cell>
          <cell r="AY185">
            <v>2.0799999999999999E-2</v>
          </cell>
        </row>
        <row r="186">
          <cell r="D186" t="str">
            <v>Pin cuadrado</v>
          </cell>
          <cell r="E186" t="str">
            <v xml:space="preserve">Pin cuadrado 2cm x cm_x000D_
Material aluminio o acero inoxidable_x000D_
Cierre mariposa en el mismo material del pin_x000D_
Diseño personalizado 4x0 </v>
          </cell>
          <cell r="F186" t="str">
            <v>Unidad</v>
          </cell>
          <cell r="G186">
            <v>1</v>
          </cell>
          <cell r="H186" t="str">
            <v>Compra</v>
          </cell>
          <cell r="I186" t="str">
            <v>Carol López</v>
          </cell>
          <cell r="J186">
            <v>46070</v>
          </cell>
          <cell r="K186" t="str">
            <v>Dicoes _ varios 12-02-2026</v>
          </cell>
          <cell r="L186" t="str">
            <v>Transcripción</v>
          </cell>
          <cell r="M186" t="str">
            <v>DICOES GRUPÓ PUBLICITARIO SAS</v>
          </cell>
          <cell r="N186">
            <v>18000</v>
          </cell>
          <cell r="O186" t="str">
            <v>Precio sin Iva</v>
          </cell>
          <cell r="P186" t="str">
            <v>Si tiene IVA</v>
          </cell>
          <cell r="Q186">
            <v>18000</v>
          </cell>
          <cell r="R186">
            <v>3420</v>
          </cell>
          <cell r="S186">
            <v>21420</v>
          </cell>
          <cell r="T186">
            <v>18000</v>
          </cell>
          <cell r="U186">
            <v>21420</v>
          </cell>
          <cell r="V186" t="str">
            <v>Luz Jimenez</v>
          </cell>
          <cell r="W186">
            <v>46078</v>
          </cell>
          <cell r="X186" t="str">
            <v>A LOT STUDIO SAS_Varios.pdf</v>
          </cell>
          <cell r="Y186" t="str">
            <v>Gestión</v>
          </cell>
          <cell r="Z186" t="str">
            <v xml:space="preserve">ALOT STUDIO SAS	
</v>
          </cell>
          <cell r="AA186">
            <v>12500</v>
          </cell>
          <cell r="AB186" t="str">
            <v>Precio sin Iva</v>
          </cell>
          <cell r="AC186" t="str">
            <v>Si tiene IVA</v>
          </cell>
          <cell r="AD186">
            <v>12500</v>
          </cell>
          <cell r="AE186">
            <v>2375</v>
          </cell>
          <cell r="AF186">
            <v>14875</v>
          </cell>
          <cell r="AG186">
            <v>12500</v>
          </cell>
          <cell r="AH186">
            <v>14875</v>
          </cell>
          <cell r="AI186" t="str">
            <v>Luz Jimenez</v>
          </cell>
          <cell r="AJ186">
            <v>46078</v>
          </cell>
          <cell r="AK186" t="str">
            <v>SGD_ VARIOS 19-02-2026 SAS</v>
          </cell>
          <cell r="AL186" t="str">
            <v>Transcripción</v>
          </cell>
          <cell r="AM186" t="str">
            <v>SG DIGITAL S.A.S</v>
          </cell>
          <cell r="AN186">
            <v>18000</v>
          </cell>
          <cell r="AO186" t="str">
            <v>IVA incluido</v>
          </cell>
          <cell r="AP186" t="str">
            <v>Si tiene IVA</v>
          </cell>
          <cell r="AQ186">
            <v>15126.050420168071</v>
          </cell>
          <cell r="AR186">
            <v>2873.9495798319331</v>
          </cell>
          <cell r="AS186">
            <v>18000</v>
          </cell>
          <cell r="AT186">
            <v>18000</v>
          </cell>
          <cell r="AU186">
            <v>18000</v>
          </cell>
          <cell r="AV186">
            <v>18098</v>
          </cell>
          <cell r="AW186">
            <v>18098</v>
          </cell>
          <cell r="AX186">
            <v>3274</v>
          </cell>
          <cell r="AY186">
            <v>0.18090396728920299</v>
          </cell>
          <cell r="BA186">
            <v>3</v>
          </cell>
        </row>
        <row r="187">
          <cell r="D187" t="str">
            <v>Pin rectangular</v>
          </cell>
          <cell r="E187" t="str">
            <v xml:space="preserve">Pin rectangular 24mm x 18 mm
Material aluminio o acero inoxidable
Cierre mariposa en el mismo material del pin
Diseño personalizado 4x0 </v>
          </cell>
          <cell r="F187" t="str">
            <v>Unidad</v>
          </cell>
          <cell r="G187">
            <v>1</v>
          </cell>
          <cell r="H187" t="str">
            <v>Compra</v>
          </cell>
          <cell r="I187" t="str">
            <v>Luz Jimenez</v>
          </cell>
          <cell r="J187">
            <v>46078</v>
          </cell>
          <cell r="K187" t="str">
            <v>Dicoes _ varios 12-02-2026</v>
          </cell>
          <cell r="L187" t="str">
            <v>Transcripción</v>
          </cell>
          <cell r="M187" t="str">
            <v>DICOES GRUPÓ PUBLICITARIO SAS</v>
          </cell>
          <cell r="N187">
            <v>18000</v>
          </cell>
          <cell r="O187" t="str">
            <v>Precio sin Iva</v>
          </cell>
          <cell r="P187" t="str">
            <v>Si tiene IVA</v>
          </cell>
          <cell r="Q187">
            <v>18000</v>
          </cell>
          <cell r="R187">
            <v>3420</v>
          </cell>
          <cell r="S187">
            <v>21420</v>
          </cell>
          <cell r="T187">
            <v>18000</v>
          </cell>
          <cell r="U187">
            <v>21420</v>
          </cell>
          <cell r="V187" t="str">
            <v>Luz Jimenez</v>
          </cell>
          <cell r="W187">
            <v>46078</v>
          </cell>
          <cell r="X187" t="str">
            <v>A LOT STUDIO SAS_Varios.pdf</v>
          </cell>
          <cell r="Y187" t="str">
            <v>Gestión</v>
          </cell>
          <cell r="Z187" t="str">
            <v>A LOT STUDIO SAS_Varios.pdf</v>
          </cell>
          <cell r="AA187">
            <v>12500</v>
          </cell>
          <cell r="AB187" t="str">
            <v>Precio sin Iva</v>
          </cell>
          <cell r="AC187" t="str">
            <v>Si tiene IVA</v>
          </cell>
          <cell r="AD187">
            <v>12500</v>
          </cell>
          <cell r="AE187">
            <v>2375</v>
          </cell>
          <cell r="AF187">
            <v>14875</v>
          </cell>
          <cell r="AG187">
            <v>12500</v>
          </cell>
          <cell r="AH187">
            <v>14875</v>
          </cell>
          <cell r="AI187" t="str">
            <v>Luz Jimenez</v>
          </cell>
          <cell r="AJ187">
            <v>46078</v>
          </cell>
          <cell r="AK187" t="str">
            <v>SGD_ VARIOS 19-02-2026 SAS</v>
          </cell>
          <cell r="AL187" t="str">
            <v>Transcripción</v>
          </cell>
          <cell r="AM187" t="str">
            <v>SG DIGITAL S.A.S</v>
          </cell>
          <cell r="AN187">
            <v>18000</v>
          </cell>
          <cell r="AO187" t="str">
            <v>IVA incluido</v>
          </cell>
          <cell r="AP187" t="str">
            <v>Si tiene IVA</v>
          </cell>
          <cell r="AQ187">
            <v>15126.050420168071</v>
          </cell>
          <cell r="AR187">
            <v>2873.9495798319331</v>
          </cell>
          <cell r="AS187">
            <v>18000</v>
          </cell>
          <cell r="AT187">
            <v>18000</v>
          </cell>
          <cell r="AU187">
            <v>18000</v>
          </cell>
          <cell r="AV187">
            <v>18098</v>
          </cell>
          <cell r="AW187">
            <v>18098</v>
          </cell>
          <cell r="AX187">
            <v>3274</v>
          </cell>
          <cell r="AY187">
            <v>0.18090396728920299</v>
          </cell>
          <cell r="BA187">
            <v>3</v>
          </cell>
        </row>
        <row r="188">
          <cell r="D188" t="str">
            <v>Pin redondo</v>
          </cell>
          <cell r="E188" t="str">
            <v xml:space="preserve">Pin redondo diámetro 20 mm_x000D_
Material aluminio o acero inoxidable_x000D_
Cierre mariposa en el mismo material del pin_x000D_
Diseño personalizado 4x0 </v>
          </cell>
          <cell r="F188" t="str">
            <v>Unidad</v>
          </cell>
          <cell r="G188">
            <v>1</v>
          </cell>
          <cell r="H188" t="str">
            <v>Compra</v>
          </cell>
          <cell r="I188" t="str">
            <v>Luz Jimenez</v>
          </cell>
          <cell r="J188">
            <v>46078</v>
          </cell>
          <cell r="K188" t="str">
            <v>Dicoes _ varios 12-02-2026</v>
          </cell>
          <cell r="L188" t="str">
            <v>Transcripción</v>
          </cell>
          <cell r="M188" t="str">
            <v>DICOES GRUPÓ PUBLICITARIO SAS</v>
          </cell>
          <cell r="N188">
            <v>18000</v>
          </cell>
          <cell r="O188" t="str">
            <v>Precio sin Iva</v>
          </cell>
          <cell r="P188" t="str">
            <v>Si tiene IVA</v>
          </cell>
          <cell r="Q188">
            <v>18000</v>
          </cell>
          <cell r="R188">
            <v>3420</v>
          </cell>
          <cell r="S188">
            <v>21420</v>
          </cell>
          <cell r="T188">
            <v>18000</v>
          </cell>
          <cell r="U188">
            <v>21420</v>
          </cell>
          <cell r="V188" t="str">
            <v>Luz Jimenez</v>
          </cell>
          <cell r="W188">
            <v>46078</v>
          </cell>
          <cell r="X188" t="str">
            <v>A LOT STUDIO SAS_Varios.pdf</v>
          </cell>
          <cell r="Y188" t="str">
            <v>Gestión</v>
          </cell>
          <cell r="Z188" t="str">
            <v>A LOT STUDIO SAS_Varios.pdf</v>
          </cell>
          <cell r="AA188">
            <v>12500</v>
          </cell>
          <cell r="AB188" t="str">
            <v>Precio sin Iva</v>
          </cell>
          <cell r="AC188" t="str">
            <v>Si tiene IVA</v>
          </cell>
          <cell r="AD188">
            <v>12500</v>
          </cell>
          <cell r="AE188">
            <v>2375</v>
          </cell>
          <cell r="AF188">
            <v>14875</v>
          </cell>
          <cell r="AG188">
            <v>12500</v>
          </cell>
          <cell r="AH188">
            <v>14875</v>
          </cell>
          <cell r="AI188" t="str">
            <v>Luz Jimenez</v>
          </cell>
          <cell r="AJ188">
            <v>46078</v>
          </cell>
          <cell r="AK188" t="str">
            <v>SGD_ VARIOS 19-02-2026 SAS</v>
          </cell>
          <cell r="AL188" t="str">
            <v>Transcripción</v>
          </cell>
          <cell r="AM188" t="str">
            <v>SG DIGITAL S.A.S</v>
          </cell>
          <cell r="AN188">
            <v>18000</v>
          </cell>
          <cell r="AO188" t="str">
            <v>IVA incluido</v>
          </cell>
          <cell r="AP188" t="str">
            <v>Si tiene IVA</v>
          </cell>
          <cell r="AQ188">
            <v>15126.050420168071</v>
          </cell>
          <cell r="AR188">
            <v>2873.9495798319331</v>
          </cell>
          <cell r="AS188">
            <v>18000</v>
          </cell>
          <cell r="AT188">
            <v>18000</v>
          </cell>
          <cell r="AU188">
            <v>18000</v>
          </cell>
          <cell r="AV188">
            <v>18098</v>
          </cell>
          <cell r="AW188">
            <v>18098</v>
          </cell>
          <cell r="AX188">
            <v>3274</v>
          </cell>
          <cell r="AY188">
            <v>0.18090396728920299</v>
          </cell>
          <cell r="BA188">
            <v>3</v>
          </cell>
        </row>
        <row r="189">
          <cell r="D189" t="str">
            <v>Pinceles finger max</v>
          </cell>
          <cell r="E189" t="str">
            <v>Elemento de motricidad fina diseñado para incentivar la pinza y facilitar el proceso de dibujo y trazos.  Ideal para estimulación temprana y expresión artística inicial. Elaborado en caucho PVC resistente.Tallas: Small y Medium.</v>
          </cell>
          <cell r="F189" t="str">
            <v>Unidad</v>
          </cell>
          <cell r="G189">
            <v>1</v>
          </cell>
          <cell r="H189" t="str">
            <v>Compra</v>
          </cell>
          <cell r="I189" t="str">
            <v>Sandra Vargas</v>
          </cell>
          <cell r="J189">
            <v>46092</v>
          </cell>
          <cell r="K189" t="str">
            <v>INVER Y DISTRIBUIDORES DIAMOND_Varios</v>
          </cell>
          <cell r="L189" t="str">
            <v>Transcripción</v>
          </cell>
          <cell r="M189" t="str">
            <v>INVER Y DISTRIBUIDORES DIAMOND</v>
          </cell>
          <cell r="N189">
            <v>11000</v>
          </cell>
          <cell r="O189" t="str">
            <v>Precio sin Iva</v>
          </cell>
          <cell r="P189" t="str">
            <v>Si tiene IVA</v>
          </cell>
          <cell r="Q189">
            <v>11000</v>
          </cell>
          <cell r="R189">
            <v>2090</v>
          </cell>
          <cell r="S189">
            <v>13090</v>
          </cell>
          <cell r="T189">
            <v>11000</v>
          </cell>
          <cell r="U189">
            <v>13090</v>
          </cell>
          <cell r="V189" t="str">
            <v>Sandra Vargas</v>
          </cell>
          <cell r="W189">
            <v>46092</v>
          </cell>
          <cell r="X189" t="str">
            <v>Jugando y Educando_Pinza 1 Unidad Motricidad Fina Jumbo Morado</v>
          </cell>
          <cell r="Y189" t="str">
            <v>Gestión</v>
          </cell>
          <cell r="Z189" t="str">
            <v>JUGANDO Y EDUCANDO</v>
          </cell>
          <cell r="AA189">
            <v>14900</v>
          </cell>
          <cell r="AB189" t="str">
            <v>IVA incluido</v>
          </cell>
          <cell r="AC189" t="str">
            <v>Si tiene IVA</v>
          </cell>
          <cell r="AD189">
            <v>12521.008403361349</v>
          </cell>
          <cell r="AE189">
            <v>2378.9915966386552</v>
          </cell>
          <cell r="AF189">
            <v>14900</v>
          </cell>
          <cell r="AG189">
            <v>14900</v>
          </cell>
          <cell r="AH189">
            <v>14900</v>
          </cell>
          <cell r="AI189" t="str">
            <v>Sandra Vargas</v>
          </cell>
          <cell r="AJ189">
            <v>46092</v>
          </cell>
          <cell r="AK189" t="str">
            <v>Falabella.com_Pinzas motricidad fina 3 dientes LEARNING RESOURCES</v>
          </cell>
          <cell r="AL189" t="str">
            <v>Gestión</v>
          </cell>
          <cell r="AM189" t="str">
            <v>FALABELLA</v>
          </cell>
          <cell r="AN189">
            <v>19900</v>
          </cell>
          <cell r="AO189" t="str">
            <v>IVA incluido</v>
          </cell>
          <cell r="AP189" t="str">
            <v>Si tiene IVA</v>
          </cell>
          <cell r="AQ189">
            <v>16722.689075630249</v>
          </cell>
          <cell r="AR189">
            <v>3177.3109243697481</v>
          </cell>
          <cell r="AS189">
            <v>19900</v>
          </cell>
          <cell r="AT189">
            <v>19900</v>
          </cell>
          <cell r="AU189">
            <v>19900</v>
          </cell>
          <cell r="AV189">
            <v>15963</v>
          </cell>
          <cell r="AW189">
            <v>15963</v>
          </cell>
          <cell r="AX189">
            <v>3527</v>
          </cell>
          <cell r="AY189">
            <v>0.22094844327507401</v>
          </cell>
          <cell r="BA189">
            <v>3</v>
          </cell>
        </row>
        <row r="190">
          <cell r="D190" t="str">
            <v>Pintura acrílica  de colores variados por  1.000 ml</v>
          </cell>
          <cell r="E190" t="str">
            <v>Pintura acrílica 1.000 ml: Presentación en frasco mediano con tapa de rosca, consistencia espesa y alta concentración de pigmento, colores variados</v>
          </cell>
          <cell r="F190" t="str">
            <v>Unidad</v>
          </cell>
          <cell r="G190">
            <v>1</v>
          </cell>
          <cell r="H190" t="str">
            <v>Compra</v>
          </cell>
          <cell r="I190" t="str">
            <v>Luz Jimenez</v>
          </cell>
          <cell r="J190">
            <v>46091</v>
          </cell>
          <cell r="K190" t="str">
            <v>Panafargo_Pintura Acrílica Al Frio - Franco Arte De 1 Litro</v>
          </cell>
          <cell r="L190" t="str">
            <v>Gestión</v>
          </cell>
          <cell r="M190" t="str">
            <v>Panagrafo</v>
          </cell>
          <cell r="N190">
            <v>42900</v>
          </cell>
          <cell r="O190" t="str">
            <v>IVA incluido</v>
          </cell>
          <cell r="P190" t="str">
            <v>Si tiene IVA</v>
          </cell>
          <cell r="Q190">
            <v>36050.420168067227</v>
          </cell>
          <cell r="R190">
            <v>6849.5798319327732</v>
          </cell>
          <cell r="S190">
            <v>42900</v>
          </cell>
          <cell r="T190">
            <v>42900</v>
          </cell>
          <cell r="U190">
            <v>42900</v>
          </cell>
          <cell r="V190" t="str">
            <v>Luz Jimenez</v>
          </cell>
          <cell r="W190">
            <v>46091</v>
          </cell>
          <cell r="X190" t="str">
            <v>Lavitela_Pintura Acrílica Blanco Franco Arte _ 60cc, 250cc, 1000cc</v>
          </cell>
          <cell r="Y190" t="str">
            <v>Transcripción</v>
          </cell>
          <cell r="Z190" t="str">
            <v>LAVITELA</v>
          </cell>
          <cell r="AA190">
            <v>49500</v>
          </cell>
          <cell r="AB190" t="str">
            <v>IVA incluido</v>
          </cell>
          <cell r="AC190" t="str">
            <v>Si tiene IVA</v>
          </cell>
          <cell r="AD190">
            <v>41596.638655462179</v>
          </cell>
          <cell r="AE190">
            <v>7903.3613445378151</v>
          </cell>
          <cell r="AF190">
            <v>49500</v>
          </cell>
          <cell r="AG190">
            <v>49500</v>
          </cell>
          <cell r="AH190">
            <v>49500</v>
          </cell>
          <cell r="AI190" t="str">
            <v>Luz Jimenez</v>
          </cell>
          <cell r="AJ190">
            <v>46091</v>
          </cell>
          <cell r="AK190" t="str">
            <v>OfficeArte Papelería_Pintura Acrílica Franco Arte 1000ml</v>
          </cell>
          <cell r="AL190" t="str">
            <v>Gestión</v>
          </cell>
          <cell r="AM190" t="str">
            <v>OFFICE ARTE PAPELERIA</v>
          </cell>
          <cell r="AN190">
            <v>41000</v>
          </cell>
          <cell r="AO190" t="str">
            <v>IVA incluido</v>
          </cell>
          <cell r="AP190" t="str">
            <v>Si tiene IVA</v>
          </cell>
          <cell r="AQ190">
            <v>34453.781512605041</v>
          </cell>
          <cell r="AR190">
            <v>6546.2184873949582</v>
          </cell>
          <cell r="AS190">
            <v>41000</v>
          </cell>
          <cell r="AT190">
            <v>41000</v>
          </cell>
          <cell r="AU190">
            <v>41000</v>
          </cell>
          <cell r="AV190">
            <v>44467</v>
          </cell>
          <cell r="AW190">
            <v>44467</v>
          </cell>
          <cell r="AX190">
            <v>4461</v>
          </cell>
          <cell r="AY190">
            <v>0.100321586794702</v>
          </cell>
          <cell r="BA190">
            <v>3</v>
          </cell>
        </row>
        <row r="191">
          <cell r="D191" t="str">
            <v>Pintura acrílica  de colores variados por  500 ml</v>
          </cell>
          <cell r="E191" t="str">
            <v>Pintura acrílica 500 ml: Presentación en frasco mediano con tapa de rosca, consistencia espesa y alta concentración de pigmento, colores variados</v>
          </cell>
          <cell r="F191" t="str">
            <v>Unidad</v>
          </cell>
          <cell r="G191">
            <v>1</v>
          </cell>
          <cell r="H191" t="str">
            <v>Compra</v>
          </cell>
          <cell r="I191" t="str">
            <v>Sandra Vargas</v>
          </cell>
          <cell r="J191">
            <v>46100</v>
          </cell>
          <cell r="K191" t="str">
            <v>Panamericana_Pintura acrílica blanca Produart x 500 cm3</v>
          </cell>
          <cell r="L191" t="str">
            <v>Gestión</v>
          </cell>
          <cell r="M191" t="str">
            <v>PANAMERICANA</v>
          </cell>
          <cell r="N191">
            <v>34700</v>
          </cell>
          <cell r="O191" t="str">
            <v>IVA incluido</v>
          </cell>
          <cell r="P191" t="str">
            <v>Si tiene IVA</v>
          </cell>
          <cell r="Q191">
            <v>29159.663865546219</v>
          </cell>
          <cell r="R191">
            <v>5540.3361344537798</v>
          </cell>
          <cell r="S191">
            <v>34700</v>
          </cell>
          <cell r="T191">
            <v>34700</v>
          </cell>
          <cell r="U191">
            <v>34700</v>
          </cell>
          <cell r="V191" t="str">
            <v>Sandra Vargas</v>
          </cell>
          <cell r="W191">
            <v>46100</v>
          </cell>
          <cell r="X191" t="str">
            <v>Comercializadora tj_Varios</v>
          </cell>
          <cell r="Y191" t="str">
            <v>Gestión</v>
          </cell>
          <cell r="Z191" t="str">
            <v>COMERCIALIZADORA TJ</v>
          </cell>
          <cell r="AA191">
            <v>27120</v>
          </cell>
          <cell r="AB191" t="str">
            <v>Precio sin Iva</v>
          </cell>
          <cell r="AC191" t="str">
            <v>Si tiene IVA</v>
          </cell>
          <cell r="AD191">
            <v>27120</v>
          </cell>
          <cell r="AE191">
            <v>5152.8</v>
          </cell>
          <cell r="AF191">
            <v>32272.799999999999</v>
          </cell>
          <cell r="AG191">
            <v>27120</v>
          </cell>
          <cell r="AH191">
            <v>32272.799999999999</v>
          </cell>
          <cell r="AI191" t="str">
            <v>Sandra Vargas</v>
          </cell>
          <cell r="AJ191">
            <v>46100</v>
          </cell>
          <cell r="AK191" t="str">
            <v>Gran papelera_Varios 11-02-2026</v>
          </cell>
          <cell r="AL191" t="str">
            <v>Gestión</v>
          </cell>
          <cell r="AM191" t="str">
            <v>LA GRAN PAPELERA</v>
          </cell>
          <cell r="AN191">
            <v>33700</v>
          </cell>
          <cell r="AO191" t="str">
            <v>IVA incluido</v>
          </cell>
          <cell r="AP191" t="str">
            <v>Si tiene IVA</v>
          </cell>
          <cell r="AQ191">
            <v>28319.327731092439</v>
          </cell>
          <cell r="AR191">
            <v>5380.6722689075632</v>
          </cell>
          <cell r="AS191">
            <v>33700</v>
          </cell>
          <cell r="AT191">
            <v>33700</v>
          </cell>
          <cell r="AU191">
            <v>33700</v>
          </cell>
          <cell r="AV191">
            <v>33558</v>
          </cell>
          <cell r="AW191">
            <v>33558</v>
          </cell>
          <cell r="AX191">
            <v>1220</v>
          </cell>
          <cell r="AY191">
            <v>3.6354967518922497E-2</v>
          </cell>
          <cell r="BA191">
            <v>3</v>
          </cell>
        </row>
        <row r="192">
          <cell r="D192" t="str">
            <v>Plataforma virtual</v>
          </cell>
          <cell r="E192" t="str">
            <v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v>
          </cell>
          <cell r="F192" t="str">
            <v>SERVICIO</v>
          </cell>
          <cell r="G192">
            <v>1</v>
          </cell>
          <cell r="Q192" t="str">
            <v> </v>
          </cell>
          <cell r="R192" t="str">
            <v> </v>
          </cell>
          <cell r="S192" t="str">
            <v> </v>
          </cell>
          <cell r="T192" t="str">
            <v> </v>
          </cell>
          <cell r="U192" t="str">
            <v> </v>
          </cell>
          <cell r="V192" t="str">
            <v>OPERADOR LOGÍSTICO</v>
          </cell>
          <cell r="W192" t="str">
            <v>OPERADOR LOGÍSTICO</v>
          </cell>
          <cell r="X192" t="str">
            <v>OPERADOR LOGÍSTICO</v>
          </cell>
          <cell r="Y192" t="str">
            <v>OPERADOR LOGÍSTICO</v>
          </cell>
          <cell r="Z192" t="str">
            <v>Estimación de precios con base en el proceso FDLSUBA-LP-013-2025 (140689) – Contrato 1000 – 2025, indexando el incremento de precios en el mercado con base en el Índice de Precios al Consumidor (IPC) para el mes de marzo de 2026, el cual fue de 5,56%.</v>
          </cell>
          <cell r="AA192" t="str">
            <v>OPERADOR LOGÍSTICO</v>
          </cell>
          <cell r="AB192" t="str">
            <v>OPERADOR LOGÍSTICO</v>
          </cell>
          <cell r="AC192" t="str">
            <v>OPERADOR LOGÍSTICO</v>
          </cell>
          <cell r="AD192" t="str">
            <v>OPERADOR LOGÍSTICO</v>
          </cell>
          <cell r="AE192" t="str">
            <v>OPERADOR LOGÍSTICO</v>
          </cell>
          <cell r="AF192">
            <v>2533527.73109244</v>
          </cell>
          <cell r="AG192">
            <v>481370.26890756312</v>
          </cell>
          <cell r="AH192">
            <v>3014898</v>
          </cell>
          <cell r="AI192" t="str">
            <v>OPERADOR LOGÍSTICO</v>
          </cell>
          <cell r="AJ192" t="str">
            <v>OPERADOR LOGÍSTICO</v>
          </cell>
          <cell r="AK192" t="str">
            <v>OPERADOR LOGÍSTICO</v>
          </cell>
          <cell r="AL192" t="str">
            <v>OPERADOR LOGÍSTICO</v>
          </cell>
          <cell r="AM192" t="str">
            <v>FUNCAS</v>
          </cell>
          <cell r="AN192" t="str">
            <v>OPERADOR LOGÍSTICO</v>
          </cell>
          <cell r="AO192" t="str">
            <v>OPERADOR LOGÍSTICO</v>
          </cell>
          <cell r="AP192" t="str">
            <v>OPERADOR LOGÍSTICO</v>
          </cell>
          <cell r="AQ192">
            <v>2448084</v>
          </cell>
          <cell r="AR192">
            <v>465136</v>
          </cell>
          <cell r="AS192">
            <v>2913220</v>
          </cell>
          <cell r="AT192">
            <v>2448084</v>
          </cell>
          <cell r="AU192">
            <v>2913220</v>
          </cell>
          <cell r="AV192">
            <v>2723374</v>
          </cell>
          <cell r="AW192">
            <v>2723374</v>
          </cell>
          <cell r="AX192" t="str">
            <v/>
          </cell>
          <cell r="AY192">
            <v>2.4299999999999999E-2</v>
          </cell>
        </row>
        <row r="193">
          <cell r="D193" t="str">
            <v>Tula Deportiva con logos</v>
          </cell>
          <cell r="E193" t="str">
            <v>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v>
          </cell>
          <cell r="F193" t="str">
            <v>Unidad</v>
          </cell>
          <cell r="G193">
            <v>1</v>
          </cell>
          <cell r="H193" t="str">
            <v>Compra</v>
          </cell>
          <cell r="V193" t="str">
            <v>Carol López</v>
          </cell>
          <cell r="W193">
            <v>46087</v>
          </cell>
          <cell r="Y193" t="str">
            <v>Gestión</v>
          </cell>
          <cell r="Z193" t="str">
            <v>Angie Pachon (personalizado INK)</v>
          </cell>
          <cell r="AA193">
            <v>15000</v>
          </cell>
          <cell r="AB193" t="str">
            <v>Precio sin Iva</v>
          </cell>
          <cell r="AC193" t="str">
            <v>Precio sin Iva</v>
          </cell>
          <cell r="AD193">
            <v>15000</v>
          </cell>
          <cell r="AE193">
            <v>0</v>
          </cell>
          <cell r="AF193">
            <v>15000</v>
          </cell>
          <cell r="AG193">
            <v>15000</v>
          </cell>
          <cell r="AH193">
            <v>15000</v>
          </cell>
          <cell r="AI193" t="str">
            <v>Carol López</v>
          </cell>
          <cell r="AJ193">
            <v>46087</v>
          </cell>
          <cell r="AK193" t="str">
            <v>Inventiva_varios 17-02-2026.pdf</v>
          </cell>
          <cell r="AL193" t="str">
            <v>Gestión</v>
          </cell>
          <cell r="AM193" t="str">
            <v>INVENTIVA</v>
          </cell>
          <cell r="AN193">
            <v>12000</v>
          </cell>
          <cell r="AO193" t="str">
            <v>Precio sin Iva</v>
          </cell>
          <cell r="AP193" t="str">
            <v>Si tiene IVA</v>
          </cell>
          <cell r="AQ193">
            <v>12000</v>
          </cell>
          <cell r="AR193">
            <v>2280</v>
          </cell>
          <cell r="AS193">
            <v>14280</v>
          </cell>
          <cell r="AT193">
            <v>12000</v>
          </cell>
          <cell r="AU193">
            <v>14280</v>
          </cell>
          <cell r="AV193">
            <v>14640</v>
          </cell>
          <cell r="AW193">
            <v>14640</v>
          </cell>
          <cell r="AX193" t="str">
            <v/>
          </cell>
          <cell r="AY193" t="e">
            <v>#VALUE!</v>
          </cell>
          <cell r="BA193" t="str">
            <v>Marcela González</v>
          </cell>
          <cell r="BB193" t="str">
            <v>Segundo ítem sin Iva</v>
          </cell>
        </row>
        <row r="194">
          <cell r="D194" t="str">
            <v>Plumones colores variados  x 12</v>
          </cell>
          <cell r="E194" t="str">
            <v>Plumones: Estuche de 12 unidades en colores surtidos con tapa ventilada antiasfixia. Tinta lavable a base de agua de larga duración y cuerpo redondo ergonómico</v>
          </cell>
          <cell r="F194" t="str">
            <v>Unidad</v>
          </cell>
          <cell r="G194">
            <v>1</v>
          </cell>
          <cell r="H194" t="str">
            <v>Compra</v>
          </cell>
          <cell r="I194" t="str">
            <v>Luz Jimenez</v>
          </cell>
          <cell r="J194">
            <v>46091</v>
          </cell>
          <cell r="K194" t="str">
            <v>Papeleria Paraiso.pdf</v>
          </cell>
          <cell r="L194" t="str">
            <v>Transcripción</v>
          </cell>
          <cell r="M194" t="str">
            <v>Papeleria El paraiso</v>
          </cell>
          <cell r="N194">
            <v>5200</v>
          </cell>
          <cell r="O194" t="str">
            <v>IVA incluido</v>
          </cell>
          <cell r="P194" t="str">
            <v>Si tiene IVA</v>
          </cell>
          <cell r="Q194">
            <v>4369.7478991596636</v>
          </cell>
          <cell r="R194">
            <v>830.25210084033631</v>
          </cell>
          <cell r="S194">
            <v>5200.0000000000009</v>
          </cell>
          <cell r="T194">
            <v>5200</v>
          </cell>
          <cell r="U194">
            <v>5200.0000000000009</v>
          </cell>
          <cell r="V194" t="str">
            <v>Luz Jimenez</v>
          </cell>
          <cell r="W194">
            <v>46091</v>
          </cell>
          <cell r="X194" t="str">
            <v>Papelería el mayorista._Plumones Offi-Esco x12 Lavables.pdf</v>
          </cell>
          <cell r="Y194" t="str">
            <v>Gestión</v>
          </cell>
          <cell r="Z194" t="str">
            <v>Papeleria el Mayorista</v>
          </cell>
          <cell r="AA194">
            <v>7500</v>
          </cell>
          <cell r="AB194" t="str">
            <v>IVA incluido</v>
          </cell>
          <cell r="AC194" t="str">
            <v>Si tiene IVA</v>
          </cell>
          <cell r="AD194">
            <v>6302.5210084033597</v>
          </cell>
          <cell r="AE194">
            <v>1197.4789915966389</v>
          </cell>
          <cell r="AF194">
            <v>7500</v>
          </cell>
          <cell r="AG194">
            <v>7500</v>
          </cell>
          <cell r="AH194">
            <v>7500</v>
          </cell>
          <cell r="AI194" t="str">
            <v>Luz Jimenez</v>
          </cell>
          <cell r="AJ194">
            <v>46091</v>
          </cell>
          <cell r="AK194" t="str">
            <v>Grafiti colores_Plumones de Colores Grafi Colors x 12 Unidades</v>
          </cell>
          <cell r="AL194" t="str">
            <v>Transcripción</v>
          </cell>
          <cell r="AM194" t="str">
            <v>GRAFITI COLORES</v>
          </cell>
          <cell r="AN194">
            <v>5900</v>
          </cell>
          <cell r="AO194" t="str">
            <v>IVA incluido</v>
          </cell>
          <cell r="AP194" t="str">
            <v>Si tiene IVA</v>
          </cell>
          <cell r="AQ194">
            <v>4957.9831932773113</v>
          </cell>
          <cell r="AR194">
            <v>942.01680672268913</v>
          </cell>
          <cell r="AS194">
            <v>5900</v>
          </cell>
          <cell r="AT194">
            <v>5900</v>
          </cell>
          <cell r="AU194">
            <v>5900</v>
          </cell>
          <cell r="AV194">
            <v>6200</v>
          </cell>
          <cell r="AW194">
            <v>6200</v>
          </cell>
          <cell r="AX194">
            <v>1179</v>
          </cell>
          <cell r="AY194">
            <v>0.190161290322581</v>
          </cell>
          <cell r="BA194">
            <v>3</v>
          </cell>
        </row>
        <row r="195">
          <cell r="D195" t="str">
            <v>Porcelanicrón por 500 gr</v>
          </cell>
          <cell r="E195" t="str">
            <v>Masa de modelado 500 g: Paquete sellado al vacío con textura suave, flexible y color blanco translúcido. Composición homogénea de secado al aire sin necesidad de horneado</v>
          </cell>
          <cell r="F195" t="str">
            <v>Unidad</v>
          </cell>
          <cell r="G195">
            <v>1</v>
          </cell>
          <cell r="H195" t="str">
            <v>Compra</v>
          </cell>
          <cell r="I195" t="str">
            <v>Luz Jimenez</v>
          </cell>
          <cell r="J195">
            <v>46091</v>
          </cell>
          <cell r="K195" t="str">
            <v>INVER Y DISTRIBUIDORES DIAMOND_Varios</v>
          </cell>
          <cell r="L195" t="str">
            <v>Gestión</v>
          </cell>
          <cell r="M195" t="str">
            <v>INVER Y DISTRIBUIDORES DIAMOND</v>
          </cell>
          <cell r="N195">
            <v>7000</v>
          </cell>
          <cell r="O195" t="str">
            <v>Precio sin Iva</v>
          </cell>
          <cell r="P195" t="str">
            <v>Si tiene IVA</v>
          </cell>
          <cell r="Q195">
            <v>7000</v>
          </cell>
          <cell r="R195">
            <v>1330</v>
          </cell>
          <cell r="S195">
            <v>8330</v>
          </cell>
          <cell r="T195">
            <v>7000</v>
          </cell>
          <cell r="U195">
            <v>8330</v>
          </cell>
          <cell r="V195" t="str">
            <v>Luz Jimenez</v>
          </cell>
          <cell r="W195">
            <v>46091</v>
          </cell>
          <cell r="X195" t="str">
            <v>Papeleria Paraiso.pdf</v>
          </cell>
          <cell r="Y195" t="str">
            <v>Gestión</v>
          </cell>
          <cell r="Z195" t="str">
            <v>Papeleria El paraiso</v>
          </cell>
          <cell r="AA195">
            <v>6150</v>
          </cell>
          <cell r="AB195" t="str">
            <v>IVA incluido</v>
          </cell>
          <cell r="AC195" t="str">
            <v>Si tiene IVA</v>
          </cell>
          <cell r="AD195">
            <v>5168.0672268907556</v>
          </cell>
          <cell r="AE195">
            <v>981.93277310924373</v>
          </cell>
          <cell r="AF195">
            <v>6150</v>
          </cell>
          <cell r="AG195">
            <v>6150</v>
          </cell>
          <cell r="AH195">
            <v>6150</v>
          </cell>
          <cell r="AI195" t="str">
            <v>Luz Jimenez</v>
          </cell>
          <cell r="AJ195">
            <v>46091</v>
          </cell>
          <cell r="AK195" t="str">
            <v>Papeleria estacion de suba_Varios</v>
          </cell>
          <cell r="AL195" t="str">
            <v>Transcripción</v>
          </cell>
          <cell r="AM195" t="str">
            <v>PAPELERIA LA ESTACION DE SUBA</v>
          </cell>
          <cell r="AN195">
            <v>8500</v>
          </cell>
          <cell r="AO195" t="str">
            <v>IVA incluido</v>
          </cell>
          <cell r="AP195" t="str">
            <v>Si tiene IVA</v>
          </cell>
          <cell r="AQ195">
            <v>7142.8571428571431</v>
          </cell>
          <cell r="AR195">
            <v>1357.1428571428571</v>
          </cell>
          <cell r="AS195">
            <v>8500</v>
          </cell>
          <cell r="AT195">
            <v>8500</v>
          </cell>
          <cell r="AU195">
            <v>8500</v>
          </cell>
          <cell r="AV195">
            <v>7660</v>
          </cell>
          <cell r="AW195">
            <v>7660</v>
          </cell>
          <cell r="AX195">
            <v>1310</v>
          </cell>
          <cell r="AY195">
            <v>0.171018276762402</v>
          </cell>
          <cell r="BA195">
            <v>3</v>
          </cell>
        </row>
        <row r="196">
          <cell r="D196" t="str">
            <v>Presentador evento</v>
          </cell>
          <cell r="E196" t="str">
            <v>PRESENTADOR PARA EVENTO DIURNO O NOCTURNO CON EXPERIENCIA EN MANEJO DE PÚBLICO
(POR EVENTO O MAXIMO 8 HORAS).</v>
          </cell>
          <cell r="F196" t="str">
            <v>SERVICIO</v>
          </cell>
          <cell r="G196">
            <v>1</v>
          </cell>
          <cell r="Q196" t="str">
            <v> </v>
          </cell>
          <cell r="R196" t="str">
            <v> </v>
          </cell>
          <cell r="S196" t="str">
            <v> </v>
          </cell>
          <cell r="T196" t="str">
            <v> </v>
          </cell>
          <cell r="U196" t="str">
            <v> </v>
          </cell>
          <cell r="V196" t="str">
            <v>OPERADOR LOGÍSTICO</v>
          </cell>
          <cell r="W196" t="str">
            <v>OPERADOR LOGÍSTICO</v>
          </cell>
          <cell r="X196" t="str">
            <v>OPERADOR LOGÍSTICO</v>
          </cell>
          <cell r="Y196" t="str">
            <v>OPERADOR LOGÍSTICO</v>
          </cell>
          <cell r="Z196" t="str">
            <v>Estimación de precios con base en el proceso FDLSUBA-LP-013-2025 (140689) – Contrato 1000 – 2025, indexando el incremento de precios en el mercado con base en el Índice de Precios al Consumidor (IPC) para el mes de marzo de 2026, el cual fue de 5,56%.</v>
          </cell>
          <cell r="AA196" t="str">
            <v>OPERADOR LOGÍSTICO</v>
          </cell>
          <cell r="AB196" t="str">
            <v>OPERADOR LOGÍSTICO</v>
          </cell>
          <cell r="AC196" t="str">
            <v>OPERADOR LOGÍSTICO</v>
          </cell>
          <cell r="AD196" t="str">
            <v>OPERADOR LOGÍSTICO</v>
          </cell>
          <cell r="AE196" t="str">
            <v>OPERADOR LOGÍSTICO</v>
          </cell>
          <cell r="AF196">
            <v>393815.12605042022</v>
          </cell>
          <cell r="AG196">
            <v>74824.873949579836</v>
          </cell>
          <cell r="AH196">
            <v>468640</v>
          </cell>
          <cell r="AI196" t="str">
            <v>OPERADOR LOGÍSTICO</v>
          </cell>
          <cell r="AJ196" t="str">
            <v>OPERADOR LOGÍSTICO</v>
          </cell>
          <cell r="AK196" t="str">
            <v>OPERADOR LOGÍSTICO</v>
          </cell>
          <cell r="AL196" t="str">
            <v>OPERADOR LOGÍSTICO</v>
          </cell>
          <cell r="AM196" t="str">
            <v>FUNCAS</v>
          </cell>
          <cell r="AN196" t="str">
            <v>OPERADOR LOGÍSTICO</v>
          </cell>
          <cell r="AO196" t="str">
            <v>OPERADOR LOGÍSTICO</v>
          </cell>
          <cell r="AP196" t="str">
            <v>OPERADOR LOGÍSTICO</v>
          </cell>
          <cell r="AQ196">
            <v>382399</v>
          </cell>
          <cell r="AR196">
            <v>72656</v>
          </cell>
          <cell r="AS196">
            <v>455055</v>
          </cell>
          <cell r="AT196">
            <v>382399</v>
          </cell>
          <cell r="AU196">
            <v>455055</v>
          </cell>
          <cell r="AV196">
            <v>424435</v>
          </cell>
          <cell r="AW196">
            <v>424435</v>
          </cell>
          <cell r="AX196" t="str">
            <v/>
          </cell>
          <cell r="AY196">
            <v>2.0799999999999999E-2</v>
          </cell>
        </row>
        <row r="197">
          <cell r="D197" t="str">
            <v>Punto fijo</v>
          </cell>
          <cell r="E197" t="str">
            <v>PUNTO FIJO VIDEO CON PANTALLAS, COMPUTADORES Y CONSOLA PARA EVENTOS DE FORMATO MEDIANO Y GRANDE CUANDO SE REQUIERE) (VALOR POR DÍA)</v>
          </cell>
          <cell r="F197" t="str">
            <v>SERVICIO</v>
          </cell>
          <cell r="G197">
            <v>1</v>
          </cell>
          <cell r="Q197" t="str">
            <v> </v>
          </cell>
          <cell r="R197" t="str">
            <v> </v>
          </cell>
          <cell r="S197" t="str">
            <v> </v>
          </cell>
          <cell r="T197" t="str">
            <v> </v>
          </cell>
          <cell r="U197" t="str">
            <v> </v>
          </cell>
          <cell r="V197" t="str">
            <v>OPERADOR LOGÍSTICO</v>
          </cell>
          <cell r="W197" t="str">
            <v>OPERADOR LOGÍSTICO</v>
          </cell>
          <cell r="X197" t="str">
            <v>OPERADOR LOGÍSTICO</v>
          </cell>
          <cell r="Y197" t="str">
            <v>OPERADOR LOGÍSTICO</v>
          </cell>
          <cell r="Z197" t="str">
            <v>Estimación de precios con base en el proceso FDLSUBA-LP-013-2025 (140689) – Contrato 1000 – 2025, indexando el incremento de precios en el mercado con base en el Índice de Precios al Consumidor (IPC) para el mes de marzo de 2026, el cual fue de 5,56%.</v>
          </cell>
          <cell r="AA197" t="str">
            <v>OPERADOR LOGÍSTICO</v>
          </cell>
          <cell r="AB197" t="str">
            <v>OPERADOR LOGÍSTICO</v>
          </cell>
          <cell r="AC197" t="str">
            <v>OPERADOR LOGÍSTICO</v>
          </cell>
          <cell r="AD197" t="str">
            <v>OPERADOR LOGÍSTICO</v>
          </cell>
          <cell r="AE197" t="str">
            <v>OPERADOR LOGÍSTICO</v>
          </cell>
          <cell r="AF197">
            <v>1143285.7142857099</v>
          </cell>
          <cell r="AG197">
            <v>217224.28571428571</v>
          </cell>
          <cell r="AH197">
            <v>1360510</v>
          </cell>
          <cell r="AI197" t="str">
            <v>OPERADOR LOGÍSTICO</v>
          </cell>
          <cell r="AJ197" t="str">
            <v>OPERADOR LOGÍSTICO</v>
          </cell>
          <cell r="AK197" t="str">
            <v>OPERADOR LOGÍSTICO</v>
          </cell>
          <cell r="AL197" t="str">
            <v>OPERADOR LOGÍSTICO</v>
          </cell>
          <cell r="AM197" t="str">
            <v>FUNCAS</v>
          </cell>
          <cell r="AN197" t="str">
            <v>OPERADOR LOGÍSTICO</v>
          </cell>
          <cell r="AO197" t="str">
            <v>OPERADOR LOGÍSTICO</v>
          </cell>
          <cell r="AP197" t="str">
            <v>OPERADOR LOGÍSTICO</v>
          </cell>
          <cell r="AQ197">
            <v>1137221</v>
          </cell>
          <cell r="AR197">
            <v>216072</v>
          </cell>
          <cell r="AS197">
            <v>1353293</v>
          </cell>
          <cell r="AT197">
            <v>1137221</v>
          </cell>
          <cell r="AU197">
            <v>1353293</v>
          </cell>
          <cell r="AV197">
            <v>1248289</v>
          </cell>
          <cell r="AW197">
            <v>1248289</v>
          </cell>
          <cell r="AX197" t="str">
            <v/>
          </cell>
          <cell r="AY197">
            <v>3.8E-3</v>
          </cell>
        </row>
        <row r="198">
          <cell r="D198" t="str">
            <v>Refrigerio Especial</v>
          </cell>
          <cell r="E198" t="str">
            <v>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v>
          </cell>
          <cell r="F198" t="str">
            <v>Unidad</v>
          </cell>
          <cell r="G198">
            <v>1</v>
          </cell>
          <cell r="H198" t="str">
            <v>Compra</v>
          </cell>
          <cell r="I198" t="str">
            <v>Luz Jimenez</v>
          </cell>
          <cell r="J198">
            <v>46153</v>
          </cell>
          <cell r="K198" t="str">
            <v>ESFERA DE EVENTOS_ Varios.pdf</v>
          </cell>
          <cell r="L198" t="str">
            <v>Transcripción</v>
          </cell>
          <cell r="M198" t="str">
            <v>Esfera de Eventos</v>
          </cell>
          <cell r="N198">
            <v>21600</v>
          </cell>
          <cell r="O198" t="str">
            <v>Precio sin Ipoconsumo</v>
          </cell>
          <cell r="P198" t="str">
            <v>Si tiene IPOCONSUMO</v>
          </cell>
          <cell r="Q198">
            <v>21600</v>
          </cell>
          <cell r="R198">
            <v>1728</v>
          </cell>
          <cell r="S198">
            <v>23328</v>
          </cell>
          <cell r="T198">
            <v>21600</v>
          </cell>
          <cell r="U198">
            <v>23328</v>
          </cell>
          <cell r="V198" t="str">
            <v>Luz Jimenez</v>
          </cell>
          <cell r="W198">
            <v>46077</v>
          </cell>
          <cell r="X198" t="str">
            <v>Catering Depot.pdf</v>
          </cell>
          <cell r="Y198" t="str">
            <v>Gestión</v>
          </cell>
          <cell r="Z198" t="str">
            <v>Catering Depot</v>
          </cell>
          <cell r="AA198">
            <v>25000</v>
          </cell>
          <cell r="AB198" t="str">
            <v>Precio sin Ipoconsumo</v>
          </cell>
          <cell r="AC198" t="str">
            <v>Si tiene IPOCONSUMO</v>
          </cell>
          <cell r="AD198">
            <v>25000</v>
          </cell>
          <cell r="AE198">
            <v>2000</v>
          </cell>
          <cell r="AF198">
            <v>27000</v>
          </cell>
          <cell r="AG198">
            <v>25000</v>
          </cell>
          <cell r="AH198">
            <v>27000</v>
          </cell>
          <cell r="AI198" t="str">
            <v>Luz Jimenez</v>
          </cell>
          <cell r="AJ198">
            <v>46094</v>
          </cell>
          <cell r="AK198" t="str">
            <v>D&amp;R PRODUCCIONES_LOGISTICA_VARIOS_13-03-2026.pdf</v>
          </cell>
          <cell r="AL198" t="str">
            <v>Gestión</v>
          </cell>
          <cell r="AM198" t="str">
            <v>D&amp;R PRODUCCIONES SAS</v>
          </cell>
          <cell r="AN198">
            <v>26824</v>
          </cell>
          <cell r="AO198" t="str">
            <v>Precio sin Ipoconsumo</v>
          </cell>
          <cell r="AP198" t="str">
            <v>Si tiene IPOCONSUMO</v>
          </cell>
          <cell r="AQ198">
            <v>26824</v>
          </cell>
          <cell r="AR198">
            <v>2145.92</v>
          </cell>
          <cell r="AS198">
            <v>28969.919999999998</v>
          </cell>
          <cell r="AT198">
            <v>26824</v>
          </cell>
          <cell r="AU198">
            <v>28969.919999999998</v>
          </cell>
          <cell r="AV198">
            <v>26433</v>
          </cell>
          <cell r="AW198">
            <v>26433</v>
          </cell>
          <cell r="AX198">
            <v>2863</v>
          </cell>
          <cell r="AY198">
            <v>0.108311580221693</v>
          </cell>
          <cell r="BA198">
            <v>3</v>
          </cell>
        </row>
        <row r="199">
          <cell r="D199" t="str">
            <v>Refrigerio para deportista</v>
          </cell>
          <cell r="E199" t="str">
            <v>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v>
          </cell>
          <cell r="F199" t="str">
            <v>Unidad</v>
          </cell>
          <cell r="G199">
            <v>1</v>
          </cell>
          <cell r="H199" t="str">
            <v>Compra</v>
          </cell>
          <cell r="I199" t="str">
            <v>Luz Jimenez</v>
          </cell>
          <cell r="J199">
            <v>46153</v>
          </cell>
          <cell r="K199" t="str">
            <v>D&amp;R PRODUCCIONES_LOGISTICA_VARIOS_13-03-2026.pdf</v>
          </cell>
          <cell r="L199" t="str">
            <v>Gestión</v>
          </cell>
          <cell r="M199" t="str">
            <v>D&amp;R PRODUCCIONES SAS</v>
          </cell>
          <cell r="N199">
            <v>14500</v>
          </cell>
          <cell r="O199" t="str">
            <v>Precio sin Ipoconsumo</v>
          </cell>
          <cell r="P199" t="str">
            <v>Si tiene IPOCONSUMO</v>
          </cell>
          <cell r="Q199">
            <v>14500</v>
          </cell>
          <cell r="R199">
            <v>1160</v>
          </cell>
          <cell r="S199">
            <v>15660</v>
          </cell>
          <cell r="T199">
            <v>14500</v>
          </cell>
          <cell r="U199">
            <v>15660</v>
          </cell>
          <cell r="V199" t="str">
            <v>Luz Jimenez</v>
          </cell>
          <cell r="W199">
            <v>46153</v>
          </cell>
          <cell r="X199" t="str">
            <v>LOGISTBOX L&amp;L SAS.pdf</v>
          </cell>
          <cell r="Y199" t="str">
            <v>Gestión</v>
          </cell>
          <cell r="Z199" t="str">
            <v>LOGISTBOX L&amp;L SAS</v>
          </cell>
          <cell r="AA199">
            <v>16300</v>
          </cell>
          <cell r="AB199" t="str">
            <v>Precio sin Ipoconsumo</v>
          </cell>
          <cell r="AC199" t="str">
            <v>Si tiene IPOCONSUMO</v>
          </cell>
          <cell r="AD199">
            <v>16300</v>
          </cell>
          <cell r="AE199">
            <v>1304</v>
          </cell>
          <cell r="AF199">
            <v>17604</v>
          </cell>
          <cell r="AG199">
            <v>16300</v>
          </cell>
          <cell r="AH199">
            <v>17604</v>
          </cell>
          <cell r="AI199" t="str">
            <v>Luz Jimenez</v>
          </cell>
          <cell r="AJ199">
            <v>46153</v>
          </cell>
          <cell r="AK199" t="str">
            <v>Distribuidora Catering y Café S.A.S 27-04-2026.pdf</v>
          </cell>
          <cell r="AL199" t="str">
            <v>Gestión</v>
          </cell>
          <cell r="AM199" t="str">
            <v>DISTRIBUIDORA CATERING Y CAFÉ SAS</v>
          </cell>
          <cell r="AN199">
            <v>15000</v>
          </cell>
          <cell r="AO199" t="str">
            <v>Precio sin Ipoconsumo</v>
          </cell>
          <cell r="AP199" t="str">
            <v>Si tiene IPOCONSUMO</v>
          </cell>
          <cell r="AQ199">
            <v>15000</v>
          </cell>
          <cell r="AR199">
            <v>1200</v>
          </cell>
          <cell r="AS199">
            <v>16200</v>
          </cell>
          <cell r="AT199">
            <v>15000</v>
          </cell>
          <cell r="AU199">
            <v>16200</v>
          </cell>
          <cell r="AV199">
            <v>16488</v>
          </cell>
          <cell r="AW199">
            <v>16488</v>
          </cell>
          <cell r="AX199">
            <v>1003</v>
          </cell>
          <cell r="AY199">
            <v>6.0832120329936901E-2</v>
          </cell>
          <cell r="BA199">
            <v>3</v>
          </cell>
        </row>
        <row r="200">
          <cell r="D200" t="str">
            <v>Refrigerio Tipo 1</v>
          </cell>
          <cell r="E200" t="str">
            <v>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v>
          </cell>
          <cell r="F200" t="str">
            <v>Unidad</v>
          </cell>
          <cell r="G200">
            <v>1</v>
          </cell>
          <cell r="H200" t="str">
            <v>Compra</v>
          </cell>
          <cell r="I200" t="str">
            <v>Luz Jimenez</v>
          </cell>
          <cell r="J200">
            <v>46062</v>
          </cell>
          <cell r="K200" t="str">
            <v>Inversiones Becorati_Varios _09-02-2026</v>
          </cell>
          <cell r="L200" t="str">
            <v>Gestión</v>
          </cell>
          <cell r="M200" t="str">
            <v>INVERSIONES BECORATI E Y O SAS</v>
          </cell>
          <cell r="N200">
            <v>11700</v>
          </cell>
          <cell r="O200" t="str">
            <v>Precio sin Ipoconsumo</v>
          </cell>
          <cell r="P200" t="str">
            <v>Si tiene IPOCONSUMO</v>
          </cell>
          <cell r="Q200">
            <v>11700</v>
          </cell>
          <cell r="R200">
            <v>936</v>
          </cell>
          <cell r="S200">
            <v>12636</v>
          </cell>
          <cell r="T200">
            <v>11700</v>
          </cell>
          <cell r="U200">
            <v>12636</v>
          </cell>
          <cell r="V200" t="str">
            <v>Luz Jimenez</v>
          </cell>
          <cell r="W200">
            <v>46129</v>
          </cell>
          <cell r="X200" t="str">
            <v>ENTERPRISE INVESTMENT 10-04-2026_Varios.pdf</v>
          </cell>
          <cell r="Y200" t="str">
            <v>Transcripción</v>
          </cell>
          <cell r="Z200" t="str">
            <v>ENTERPRISE INVESTMENT DEVELOPMENT S.A.S.</v>
          </cell>
          <cell r="AA200">
            <v>8570</v>
          </cell>
          <cell r="AB200" t="str">
            <v>Precio sin Ipoconsumo</v>
          </cell>
          <cell r="AC200" t="str">
            <v>Si tiene IPOCONSUMO</v>
          </cell>
          <cell r="AD200">
            <v>8570</v>
          </cell>
          <cell r="AE200">
            <v>685.6</v>
          </cell>
          <cell r="AF200">
            <v>9255.6</v>
          </cell>
          <cell r="AG200">
            <v>8570</v>
          </cell>
          <cell r="AH200">
            <v>9255.6</v>
          </cell>
          <cell r="AI200" t="str">
            <v>JUAN CAMILO</v>
          </cell>
          <cell r="AJ200" t="str">
            <v>OPERADOR LOGÍSTICO</v>
          </cell>
          <cell r="AM200" t="str">
            <v>Estimación de precios con base en el proceso FDLSUBA-LP-013-2025 (140689) – Contrato 1000 – 2025, indexando el incremento de precios en el mercado con base en el Índice de Precios al Consumidor (IPC) para el mes de marzo de 2026, el cual fue de 5,56%.</v>
          </cell>
          <cell r="AN200">
            <v>13871</v>
          </cell>
          <cell r="AQ200">
            <v>12843.51851851852</v>
          </cell>
          <cell r="AR200">
            <v>1027.481481481482</v>
          </cell>
          <cell r="AS200">
            <v>13871</v>
          </cell>
          <cell r="AT200">
            <v>12843.51851851852</v>
          </cell>
          <cell r="AU200">
            <v>13871</v>
          </cell>
          <cell r="AV200">
            <v>11921</v>
          </cell>
          <cell r="AW200">
            <v>11921</v>
          </cell>
          <cell r="AX200">
            <v>2389</v>
          </cell>
          <cell r="AY200">
            <v>0.20040265078433001</v>
          </cell>
          <cell r="AZ200" t="str">
            <v>Para la última cotización se toma como precio de referencia el esudio de mercado del año 2025</v>
          </cell>
          <cell r="BA200">
            <v>3</v>
          </cell>
        </row>
        <row r="201">
          <cell r="D201" t="str">
            <v>Resma hoja blanca tamaño carta</v>
          </cell>
          <cell r="E201" t="str">
            <v>Resma de papel bond tamaño carta: Paquete de 500 hojas de 75 gr</v>
          </cell>
          <cell r="F201" t="str">
            <v>Unidad</v>
          </cell>
          <cell r="G201">
            <v>1</v>
          </cell>
          <cell r="H201" t="str">
            <v>Compra</v>
          </cell>
          <cell r="I201" t="str">
            <v>Luz Jimenez</v>
          </cell>
          <cell r="J201">
            <v>46091</v>
          </cell>
          <cell r="K201" t="str">
            <v>Papeleria Paraiso.pdf</v>
          </cell>
          <cell r="L201" t="str">
            <v>Gestión</v>
          </cell>
          <cell r="M201" t="str">
            <v>PAPELERIA PARAISO</v>
          </cell>
          <cell r="N201">
            <v>15000</v>
          </cell>
          <cell r="O201" t="str">
            <v>IVA incluido</v>
          </cell>
          <cell r="P201" t="str">
            <v>Si tiene IVA</v>
          </cell>
          <cell r="Q201">
            <v>12605.042016806719</v>
          </cell>
          <cell r="R201">
            <v>2394.957983193277</v>
          </cell>
          <cell r="S201">
            <v>15000</v>
          </cell>
          <cell r="T201">
            <v>15000</v>
          </cell>
          <cell r="U201">
            <v>15000</v>
          </cell>
          <cell r="V201" t="str">
            <v>Luz Jimenez</v>
          </cell>
          <cell r="W201">
            <v>46091</v>
          </cell>
          <cell r="X201" t="str">
            <v>Papeleria estacion de suba_Varios</v>
          </cell>
          <cell r="Y201" t="str">
            <v>Gestión</v>
          </cell>
          <cell r="Z201" t="str">
            <v>PAPELERIA LA ESTACION DE SUBA</v>
          </cell>
          <cell r="AA201">
            <v>15000</v>
          </cell>
          <cell r="AB201" t="str">
            <v>IVA incluido</v>
          </cell>
          <cell r="AC201" t="str">
            <v>Si tiene IVA</v>
          </cell>
          <cell r="AD201">
            <v>12605.042016806719</v>
          </cell>
          <cell r="AE201">
            <v>2394.957983193277</v>
          </cell>
          <cell r="AF201">
            <v>15000</v>
          </cell>
          <cell r="AG201">
            <v>15000</v>
          </cell>
          <cell r="AH201">
            <v>15000</v>
          </cell>
          <cell r="AI201" t="str">
            <v>Luz Jimenez</v>
          </cell>
          <cell r="AJ201">
            <v>46091</v>
          </cell>
          <cell r="AK201" t="str">
            <v>INVER Y DISTRIBUIDORES DIAMOND_Varios</v>
          </cell>
          <cell r="AL201" t="str">
            <v>Gestión</v>
          </cell>
          <cell r="AM201" t="str">
            <v>INVER Y DISTRIBUIDORES DIAMOND</v>
          </cell>
          <cell r="AN201">
            <v>15497</v>
          </cell>
          <cell r="AO201" t="str">
            <v>Precio sin Iva</v>
          </cell>
          <cell r="AP201" t="str">
            <v>Si tiene IVA</v>
          </cell>
          <cell r="AQ201">
            <v>15497</v>
          </cell>
          <cell r="AR201">
            <v>2944.43</v>
          </cell>
          <cell r="AS201">
            <v>18441.43</v>
          </cell>
          <cell r="AT201">
            <v>15497</v>
          </cell>
          <cell r="AU201">
            <v>18441.43</v>
          </cell>
          <cell r="AV201">
            <v>16147</v>
          </cell>
          <cell r="AW201">
            <v>16147</v>
          </cell>
          <cell r="AX201">
            <v>1987</v>
          </cell>
          <cell r="AY201">
            <v>0.12305691459713899</v>
          </cell>
          <cell r="BA201">
            <v>3</v>
          </cell>
        </row>
        <row r="202">
          <cell r="D202" t="str">
            <v>Resma hoja blanca tamaño oficio </v>
          </cell>
          <cell r="E202" t="str">
            <v>Resma de papel bond tamaño oficio: Paquete de 500 hojas de 75 g</v>
          </cell>
          <cell r="F202" t="str">
            <v>Unidad</v>
          </cell>
          <cell r="G202">
            <v>1</v>
          </cell>
          <cell r="H202" t="str">
            <v>Compra</v>
          </cell>
          <cell r="I202" t="str">
            <v>Luz Jimenez</v>
          </cell>
          <cell r="J202">
            <v>46091</v>
          </cell>
          <cell r="K202" t="str">
            <v>INVER Y DISTRIBUIDORES DIAMOND_Varios</v>
          </cell>
          <cell r="L202" t="str">
            <v>Gestión</v>
          </cell>
          <cell r="M202" t="str">
            <v>INVER Y DISTRIBUIDORES DIAMOND</v>
          </cell>
          <cell r="N202">
            <v>18500</v>
          </cell>
          <cell r="O202" t="str">
            <v>Precio sin Iva</v>
          </cell>
          <cell r="P202" t="str">
            <v>Si tiene IVA</v>
          </cell>
          <cell r="Q202">
            <v>18500</v>
          </cell>
          <cell r="R202">
            <v>3515</v>
          </cell>
          <cell r="S202">
            <v>22015</v>
          </cell>
          <cell r="T202">
            <v>18500</v>
          </cell>
          <cell r="U202">
            <v>22015</v>
          </cell>
          <cell r="V202" t="str">
            <v>Luz Jimenez</v>
          </cell>
          <cell r="W202">
            <v>46091</v>
          </cell>
          <cell r="X202" t="str">
            <v>Papeleria Paraiso.pdf</v>
          </cell>
          <cell r="Y202" t="str">
            <v>Gestión</v>
          </cell>
          <cell r="Z202" t="str">
            <v>Distribuidora Paraiso</v>
          </cell>
          <cell r="AA202">
            <v>19000</v>
          </cell>
          <cell r="AB202" t="str">
            <v>IVA incluido</v>
          </cell>
          <cell r="AC202" t="str">
            <v>Si tiene IVA</v>
          </cell>
          <cell r="AD202">
            <v>15966.386554621849</v>
          </cell>
          <cell r="AE202">
            <v>3033.613445378151</v>
          </cell>
          <cell r="AF202">
            <v>19000</v>
          </cell>
          <cell r="AG202">
            <v>19000</v>
          </cell>
          <cell r="AH202">
            <v>19000</v>
          </cell>
          <cell r="AI202" t="str">
            <v>Luz Jimenez</v>
          </cell>
          <cell r="AJ202">
            <v>46091</v>
          </cell>
          <cell r="AK202" t="str">
            <v>Papeleria estacion de suba_Varios</v>
          </cell>
          <cell r="AL202" t="str">
            <v>Gestión</v>
          </cell>
          <cell r="AM202" t="str">
            <v>PAPELERIA LA ESTACION DE SUBA</v>
          </cell>
          <cell r="AN202">
            <v>22000</v>
          </cell>
          <cell r="AO202" t="str">
            <v>IVA incluido</v>
          </cell>
          <cell r="AP202" t="str">
            <v>Si tiene IVA</v>
          </cell>
          <cell r="AQ202">
            <v>18487.39495798319</v>
          </cell>
          <cell r="AR202">
            <v>3512.6050420168071</v>
          </cell>
          <cell r="AS202">
            <v>22000</v>
          </cell>
          <cell r="AT202">
            <v>22000</v>
          </cell>
          <cell r="AU202">
            <v>22000</v>
          </cell>
          <cell r="AV202">
            <v>21005</v>
          </cell>
          <cell r="AW202">
            <v>21005</v>
          </cell>
          <cell r="AX202">
            <v>1736</v>
          </cell>
          <cell r="AY202">
            <v>8.26469888121876E-2</v>
          </cell>
          <cell r="BA202">
            <v>3</v>
          </cell>
        </row>
        <row r="203">
          <cell r="D203" t="str">
            <v xml:space="preserve">Sacapuntas caja x 12u </v>
          </cell>
          <cell r="E203" t="str">
            <v>Caja de 12 sacapuntas metálicos de alta resistencia con cuerpo de aleación de magnesio y cuchilla de acero al carbono.</v>
          </cell>
          <cell r="F203" t="str">
            <v>Unidad</v>
          </cell>
          <cell r="G203">
            <v>1</v>
          </cell>
          <cell r="H203" t="str">
            <v>Compra</v>
          </cell>
          <cell r="I203" t="str">
            <v>Luz Jimenez</v>
          </cell>
          <cell r="J203">
            <v>46091</v>
          </cell>
          <cell r="K203" t="str">
            <v>INVER Y DISTRIBUIDORES DIAMOND_Varios</v>
          </cell>
          <cell r="L203" t="str">
            <v>Gestión</v>
          </cell>
          <cell r="M203" t="str">
            <v>INVER Y DISTRIBUIDORES DIAMOND</v>
          </cell>
          <cell r="N203">
            <v>5461</v>
          </cell>
          <cell r="O203" t="str">
            <v>Precio sin Iva</v>
          </cell>
          <cell r="P203" t="str">
            <v>Si tiene IVA</v>
          </cell>
          <cell r="Q203">
            <v>5461</v>
          </cell>
          <cell r="R203">
            <v>1037.5899999999999</v>
          </cell>
          <cell r="S203">
            <v>6498.59</v>
          </cell>
          <cell r="T203">
            <v>5461</v>
          </cell>
          <cell r="U203">
            <v>6498.59</v>
          </cell>
          <cell r="V203" t="str">
            <v>Luz Jimenez</v>
          </cell>
          <cell r="W203">
            <v>46091</v>
          </cell>
          <cell r="X203" t="str">
            <v>Papeleria Paraiso.pdf</v>
          </cell>
          <cell r="Y203" t="str">
            <v>Gestión</v>
          </cell>
          <cell r="Z203" t="str">
            <v>Distribuidora Paraiso</v>
          </cell>
          <cell r="AA203">
            <v>6600</v>
          </cell>
          <cell r="AB203" t="str">
            <v>IVA incluido</v>
          </cell>
          <cell r="AC203" t="str">
            <v>Si tiene IVA</v>
          </cell>
          <cell r="AD203">
            <v>5546.2184873949582</v>
          </cell>
          <cell r="AE203">
            <v>1053.7815126050421</v>
          </cell>
          <cell r="AF203">
            <v>6600</v>
          </cell>
          <cell r="AG203">
            <v>6600</v>
          </cell>
          <cell r="AH203">
            <v>6600</v>
          </cell>
          <cell r="AI203" t="str">
            <v>Luz Jimenez</v>
          </cell>
          <cell r="AJ203">
            <v>46091</v>
          </cell>
          <cell r="AK203" t="str">
            <v>Don Bodegon Mayorista_CAJA DE SACAPUNTA METALICO X24 .pdf</v>
          </cell>
          <cell r="AL203" t="str">
            <v>Gestión</v>
          </cell>
          <cell r="AM203" t="str">
            <v>Don Bodegon mayoristas</v>
          </cell>
          <cell r="AN203">
            <v>6684</v>
          </cell>
          <cell r="AO203" t="str">
            <v>IVA incluido</v>
          </cell>
          <cell r="AP203" t="str">
            <v>Si tiene IVA</v>
          </cell>
          <cell r="AQ203">
            <v>5616.8067226890762</v>
          </cell>
          <cell r="AR203">
            <v>1067.193277310924</v>
          </cell>
          <cell r="AS203">
            <v>6684.0000000000009</v>
          </cell>
          <cell r="AT203">
            <v>6684</v>
          </cell>
          <cell r="AU203">
            <v>6684.0000000000009</v>
          </cell>
          <cell r="AV203">
            <v>6594</v>
          </cell>
          <cell r="AW203">
            <v>6594</v>
          </cell>
          <cell r="AX203">
            <v>93</v>
          </cell>
          <cell r="AY203">
            <v>1.4103730664240199E-2</v>
          </cell>
          <cell r="BA203">
            <v>3</v>
          </cell>
        </row>
        <row r="204">
          <cell r="D204" t="str">
            <v>Salón - Espacio Apto para 100 personas   (jornada completa más equipos audiovisuales)</v>
          </cell>
          <cell r="E204" t="str">
            <v>Espacio físico para 100 personas con baño, sillas y mesas, ubicado en la localidad de Suba, con disponibilidad de espacio exterior para desarrollo de actividades_x000D_
Dotado con equipo de computo, video beam y sonido_x000D_
Jornada de 8 horas</v>
          </cell>
          <cell r="F204" t="str">
            <v>Unidad</v>
          </cell>
          <cell r="G204">
            <v>1</v>
          </cell>
          <cell r="H204" t="str">
            <v>Alquiler</v>
          </cell>
          <cell r="I204" t="str">
            <v>Sandra Vargas</v>
          </cell>
          <cell r="J204">
            <v>46142</v>
          </cell>
          <cell r="K204" t="str">
            <v>JAC_PRADO_PINZON_19_03.pdf</v>
          </cell>
          <cell r="L204" t="str">
            <v>Transcripción</v>
          </cell>
          <cell r="M204" t="str">
            <v xml:space="preserve">JAC PRADO PINZON </v>
          </cell>
          <cell r="N204">
            <v>470589</v>
          </cell>
          <cell r="O204" t="str">
            <v>Precio sin Iva</v>
          </cell>
          <cell r="P204" t="str">
            <v>Si tiene IVA</v>
          </cell>
          <cell r="Q204">
            <v>470589</v>
          </cell>
          <cell r="R204">
            <v>89411.91</v>
          </cell>
          <cell r="S204">
            <v>560000.91</v>
          </cell>
          <cell r="T204">
            <v>470589</v>
          </cell>
          <cell r="U204">
            <v>560000.91</v>
          </cell>
          <cell r="V204" t="str">
            <v>Sandra Vargas</v>
          </cell>
          <cell r="W204">
            <v>46142</v>
          </cell>
          <cell r="X204" t="str">
            <v>JAC URBANIZACION EL LAGUITO DE SUBA</v>
          </cell>
          <cell r="Y204" t="str">
            <v>Transcripción</v>
          </cell>
          <cell r="Z204" t="str">
            <v>JAC URBANIZACION EL LAGUITO DE SUBA</v>
          </cell>
          <cell r="AA204">
            <v>361345</v>
          </cell>
          <cell r="AB204" t="str">
            <v>Precio sin Iva</v>
          </cell>
          <cell r="AC204" t="str">
            <v>Si tiene IVA</v>
          </cell>
          <cell r="AD204">
            <v>361345</v>
          </cell>
          <cell r="AE204">
            <v>68655.55</v>
          </cell>
          <cell r="AF204">
            <v>430000.55</v>
          </cell>
          <cell r="AG204">
            <v>361345</v>
          </cell>
          <cell r="AH204">
            <v>430000.55</v>
          </cell>
          <cell r="AV204">
            <v>495001</v>
          </cell>
          <cell r="AW204">
            <v>495001</v>
          </cell>
          <cell r="AX204">
            <v>91924</v>
          </cell>
          <cell r="AY204">
            <v>0.18570467534408999</v>
          </cell>
          <cell r="BA204">
            <v>2</v>
          </cell>
        </row>
        <row r="205">
          <cell r="D205" t="str">
            <v>Salón - Espacio Apto para 100 personas  (media jornada más equipos audiovisuales)</v>
          </cell>
          <cell r="E205" t="str">
            <v>Espacio físico para 100 personas con baño, sillas y mesas, ubicado en la localidad de Suba, con disponibilidad de espacio exterior para desarrollo de actividades_x000D_
Dotado con equipo de computo, video beam y sonido_x000D_
Jornada de 4 horas</v>
          </cell>
          <cell r="F205" t="str">
            <v>Unidad</v>
          </cell>
          <cell r="G205">
            <v>1</v>
          </cell>
          <cell r="H205" t="str">
            <v>Alquiler</v>
          </cell>
          <cell r="I205" t="str">
            <v>Sandra vargas</v>
          </cell>
          <cell r="J205">
            <v>46142</v>
          </cell>
          <cell r="K205" t="str">
            <v>JAC_PRADO_PINZON_19_03.pdf</v>
          </cell>
          <cell r="L205" t="str">
            <v>Transcripción</v>
          </cell>
          <cell r="M205" t="str">
            <v xml:space="preserve">JAC PRADO PINZON </v>
          </cell>
          <cell r="N205">
            <v>302522</v>
          </cell>
          <cell r="O205" t="str">
            <v>Precio sin Iva</v>
          </cell>
          <cell r="P205" t="str">
            <v>Si tiene IVA</v>
          </cell>
          <cell r="Q205">
            <v>302522</v>
          </cell>
          <cell r="R205">
            <v>57479.18</v>
          </cell>
          <cell r="S205">
            <v>360001.18</v>
          </cell>
          <cell r="T205">
            <v>302522</v>
          </cell>
          <cell r="U205">
            <v>360001.18</v>
          </cell>
          <cell r="V205" t="str">
            <v>Sandra Vargas</v>
          </cell>
          <cell r="W205">
            <v>46142</v>
          </cell>
          <cell r="X205" t="str">
            <v>JAC URBANIZACION EL LAGUITO DE SUBA</v>
          </cell>
          <cell r="Y205" t="str">
            <v>Gestión</v>
          </cell>
          <cell r="Z205" t="str">
            <v>JAC URBANIZACION EL LAGUITO DE SUBA</v>
          </cell>
          <cell r="AA205">
            <v>252101</v>
          </cell>
          <cell r="AB205" t="str">
            <v>Precio sin Iva</v>
          </cell>
          <cell r="AC205" t="str">
            <v>Si tiene IVA</v>
          </cell>
          <cell r="AD205">
            <v>252101</v>
          </cell>
          <cell r="AE205">
            <v>47899.19</v>
          </cell>
          <cell r="AF205">
            <v>300000.19</v>
          </cell>
          <cell r="AG205">
            <v>252101</v>
          </cell>
          <cell r="AH205">
            <v>300000.19</v>
          </cell>
          <cell r="AV205">
            <v>330001</v>
          </cell>
          <cell r="AW205">
            <v>330001</v>
          </cell>
          <cell r="AX205">
            <v>42427</v>
          </cell>
          <cell r="AY205">
            <v>0.128566277071888</v>
          </cell>
          <cell r="BA205">
            <v>2</v>
          </cell>
        </row>
        <row r="206">
          <cell r="D206" t="str">
            <v>Salón - Espacio Apto para 100 personas (jornada completa)</v>
          </cell>
          <cell r="E206" t="str">
            <v>Espacio físico para 100 personas con baño, sillas y mesas, ubicado en la localidad de Suba, con disponibilidad de espacio exterior para desarrollo de actividades_x000D_
Jornada de 8 horas</v>
          </cell>
          <cell r="F206" t="str">
            <v>Unidad</v>
          </cell>
          <cell r="G206">
            <v>1</v>
          </cell>
          <cell r="H206" t="str">
            <v>Alquiler</v>
          </cell>
          <cell r="I206" t="str">
            <v>Sandra Vargas</v>
          </cell>
          <cell r="J206">
            <v>46142</v>
          </cell>
          <cell r="K206" t="str">
            <v>JAC URBANIZACION EL LAGUITO DE SUBA.pdf</v>
          </cell>
          <cell r="L206" t="str">
            <v>Transcripción</v>
          </cell>
          <cell r="M206" t="str">
            <v>JAC URBANIZACION EL LAGUITO DE SUBA</v>
          </cell>
          <cell r="N206">
            <v>361345</v>
          </cell>
          <cell r="O206" t="str">
            <v>Precio sin Iva</v>
          </cell>
          <cell r="P206" t="str">
            <v>Si tiene IVA</v>
          </cell>
          <cell r="Q206">
            <v>361345</v>
          </cell>
          <cell r="R206">
            <v>68655.55</v>
          </cell>
          <cell r="S206">
            <v>430000.55</v>
          </cell>
          <cell r="T206">
            <v>361345</v>
          </cell>
          <cell r="U206">
            <v>430000.55</v>
          </cell>
          <cell r="V206" t="str">
            <v>Sandra Vargas</v>
          </cell>
          <cell r="W206">
            <v>46142</v>
          </cell>
          <cell r="X206" t="str">
            <v>JAC_PRADO_PINZON_19_03.pdf</v>
          </cell>
          <cell r="Y206" t="str">
            <v>Transcripción</v>
          </cell>
          <cell r="Z206" t="str">
            <v xml:space="preserve">JAC PRADO PINZON </v>
          </cell>
          <cell r="AA206">
            <v>470589</v>
          </cell>
          <cell r="AB206" t="str">
            <v>Precio sin Iva</v>
          </cell>
          <cell r="AC206" t="str">
            <v>Si tiene IVA</v>
          </cell>
          <cell r="AD206">
            <v>470589</v>
          </cell>
          <cell r="AE206">
            <v>89411.91</v>
          </cell>
          <cell r="AF206">
            <v>560000.91</v>
          </cell>
          <cell r="AG206">
            <v>470589</v>
          </cell>
          <cell r="AH206">
            <v>560000.91</v>
          </cell>
          <cell r="AV206">
            <v>495001</v>
          </cell>
          <cell r="AW206">
            <v>495001</v>
          </cell>
          <cell r="AX206">
            <v>91924</v>
          </cell>
          <cell r="AY206">
            <v>0.18570467534408999</v>
          </cell>
          <cell r="BA206">
            <v>2</v>
          </cell>
        </row>
        <row r="207">
          <cell r="D207" t="str">
            <v>Salón - Espacio Apto para 100 personas (media jornada)</v>
          </cell>
          <cell r="E207" t="str">
            <v>Espacio físico para 100 personas con baño, sillas y mesas, ubicado en la localidad de Suba, con disponibilidad de espacio exterior para desarrollo de actividades_x000D_
Jornada de 4 horas</v>
          </cell>
          <cell r="F207" t="str">
            <v>Unidad</v>
          </cell>
          <cell r="G207">
            <v>1</v>
          </cell>
          <cell r="H207" t="str">
            <v>Alquiler</v>
          </cell>
          <cell r="I207" t="str">
            <v>Sandra vargas</v>
          </cell>
          <cell r="J207">
            <v>46147</v>
          </cell>
          <cell r="K207" t="str">
            <v>JAC_PRADO_PINZON_19_03.pdf</v>
          </cell>
          <cell r="L207" t="str">
            <v>Transcripción</v>
          </cell>
          <cell r="M207" t="str">
            <v xml:space="preserve">JAC PRADO PINZON </v>
          </cell>
          <cell r="N207">
            <v>302522</v>
          </cell>
          <cell r="O207" t="str">
            <v>Precio sin Iva</v>
          </cell>
          <cell r="P207" t="str">
            <v>Si tiene IVA</v>
          </cell>
          <cell r="Q207">
            <v>302522</v>
          </cell>
          <cell r="R207">
            <v>57479.18</v>
          </cell>
          <cell r="S207">
            <v>360001.18</v>
          </cell>
          <cell r="T207">
            <v>302522</v>
          </cell>
          <cell r="U207">
            <v>360001.18</v>
          </cell>
          <cell r="V207" t="str">
            <v>Sandra Vargas</v>
          </cell>
          <cell r="W207">
            <v>46143</v>
          </cell>
          <cell r="X207" t="str">
            <v>JAC URBANIZACION EL LAGUITO DE SUBA</v>
          </cell>
          <cell r="Y207" t="str">
            <v>Transcripción</v>
          </cell>
          <cell r="Z207" t="str">
            <v>JAC URBANIZACION EL LAGUITO DE SUBA</v>
          </cell>
          <cell r="AA207">
            <v>252101</v>
          </cell>
          <cell r="AB207" t="str">
            <v>Precio sin Iva</v>
          </cell>
          <cell r="AC207" t="str">
            <v>Si tiene IVA</v>
          </cell>
          <cell r="AD207">
            <v>252101</v>
          </cell>
          <cell r="AE207">
            <v>47899.19</v>
          </cell>
          <cell r="AF207">
            <v>300000.19</v>
          </cell>
          <cell r="AG207">
            <v>252101</v>
          </cell>
          <cell r="AH207">
            <v>300000.19</v>
          </cell>
          <cell r="AV207">
            <v>330001</v>
          </cell>
          <cell r="AW207">
            <v>330001</v>
          </cell>
          <cell r="AX207">
            <v>42427</v>
          </cell>
          <cell r="AY207">
            <v>0.128566277071888</v>
          </cell>
          <cell r="BA207">
            <v>2</v>
          </cell>
        </row>
        <row r="208">
          <cell r="D208" t="str">
            <v>Salón - Espacio Apto para 50 personas  (media jornada más equipos audiovisuales)</v>
          </cell>
          <cell r="E208" t="str">
            <v>Espacio físico para 50 personas con baño, sillas y mesas, ubicado en la localidad de Suba, con disponibilidad de espacio exterior para desarrollo de actividades_x000D_
Dotado con equipo de computo, video beam y sonido_x000D_
Jornada de 4 horas</v>
          </cell>
          <cell r="F208" t="str">
            <v>Unidad</v>
          </cell>
          <cell r="G208">
            <v>1</v>
          </cell>
          <cell r="H208" t="str">
            <v>Alquiler</v>
          </cell>
          <cell r="I208" t="str">
            <v>Sandra vargas</v>
          </cell>
          <cell r="J208">
            <v>46100</v>
          </cell>
          <cell r="K208" t="str">
            <v>JAC_PRADO_PINZON_19_03.pdf</v>
          </cell>
          <cell r="L208" t="str">
            <v>Gestión</v>
          </cell>
          <cell r="M208" t="str">
            <v xml:space="preserve">JAC PRADO PINZON </v>
          </cell>
          <cell r="N208">
            <v>302522</v>
          </cell>
          <cell r="O208" t="str">
            <v>Precio sin Iva</v>
          </cell>
          <cell r="P208" t="str">
            <v>Si tiene IVA</v>
          </cell>
          <cell r="Q208">
            <v>302522</v>
          </cell>
          <cell r="R208">
            <v>57479.18</v>
          </cell>
          <cell r="S208">
            <v>360001.18</v>
          </cell>
          <cell r="T208">
            <v>302522</v>
          </cell>
          <cell r="U208">
            <v>360001.18</v>
          </cell>
          <cell r="V208" t="str">
            <v>Luz Jimenez</v>
          </cell>
          <cell r="W208">
            <v>46139</v>
          </cell>
          <cell r="X208" t="str">
            <v>JAC URBANIZACION EL LAGUITO DE SUBA</v>
          </cell>
          <cell r="Y208" t="str">
            <v>Transcripción</v>
          </cell>
          <cell r="Z208" t="str">
            <v>JAC URBANIZACION EL LAGUITO DE SUBA</v>
          </cell>
          <cell r="AA208">
            <v>252101</v>
          </cell>
          <cell r="AB208" t="str">
            <v>Precio sin Iva</v>
          </cell>
          <cell r="AC208" t="str">
            <v>Si tiene IVA</v>
          </cell>
          <cell r="AD208">
            <v>252101</v>
          </cell>
          <cell r="AE208">
            <v>47899.19</v>
          </cell>
          <cell r="AF208">
            <v>300000.19</v>
          </cell>
          <cell r="AG208">
            <v>252101</v>
          </cell>
          <cell r="AH208">
            <v>300000.19</v>
          </cell>
          <cell r="AV208">
            <v>330001</v>
          </cell>
          <cell r="AW208">
            <v>330001</v>
          </cell>
          <cell r="AX208">
            <v>42427</v>
          </cell>
          <cell r="AY208">
            <v>0.128566277071888</v>
          </cell>
          <cell r="BA208">
            <v>2</v>
          </cell>
        </row>
        <row r="209">
          <cell r="D209" t="str">
            <v>Salón - Espacio Apto para 50 personas (jornada completa más equipos audiovisuales)</v>
          </cell>
          <cell r="E209" t="str">
            <v>Espacio físico para 50 personas con baño, sillas y mesas, ubicado en la localidad de Suba, con disponibilidad de espacio exterior para desarrollo de actividades
Dotado con equipo de computo, video beam y sonido
Jornada de 8 horas</v>
          </cell>
          <cell r="F209" t="str">
            <v>Unidad</v>
          </cell>
          <cell r="G209">
            <v>1</v>
          </cell>
          <cell r="H209" t="str">
            <v>Alquiler</v>
          </cell>
          <cell r="I209" t="str">
            <v>Sandra vargas</v>
          </cell>
          <cell r="J209">
            <v>46143</v>
          </cell>
          <cell r="K209" t="str">
            <v>JAC_PRADO_PINZON_19_03.pdf</v>
          </cell>
          <cell r="L209" t="str">
            <v>Transcripción</v>
          </cell>
          <cell r="M209" t="str">
            <v xml:space="preserve">JAC PRADO PINZON </v>
          </cell>
          <cell r="N209">
            <v>302522</v>
          </cell>
          <cell r="O209" t="str">
            <v>Precio sin Iva</v>
          </cell>
          <cell r="P209" t="str">
            <v>Si tiene IVA</v>
          </cell>
          <cell r="Q209">
            <v>302522</v>
          </cell>
          <cell r="R209">
            <v>57479.18</v>
          </cell>
          <cell r="S209">
            <v>360001.18</v>
          </cell>
          <cell r="T209">
            <v>302522</v>
          </cell>
          <cell r="U209">
            <v>360001.18</v>
          </cell>
          <cell r="V209" t="str">
            <v>Sandra Vargas</v>
          </cell>
          <cell r="W209">
            <v>46143</v>
          </cell>
          <cell r="X209" t="str">
            <v>JAC URBANIZACION EL LAGUITO DE SUBA</v>
          </cell>
          <cell r="Y209" t="str">
            <v>Transcripción</v>
          </cell>
          <cell r="Z209" t="str">
            <v>JAC URBANIZACION EL LAGUITO DE SUBA</v>
          </cell>
          <cell r="AA209">
            <v>361345</v>
          </cell>
          <cell r="AB209" t="str">
            <v>Precio sin Iva</v>
          </cell>
          <cell r="AC209" t="str">
            <v>Si tiene IVA</v>
          </cell>
          <cell r="AD209">
            <v>361345</v>
          </cell>
          <cell r="AE209">
            <v>68655.55</v>
          </cell>
          <cell r="AF209">
            <v>430000.55</v>
          </cell>
          <cell r="AG209">
            <v>361345</v>
          </cell>
          <cell r="AH209">
            <v>430000.55</v>
          </cell>
          <cell r="AV209">
            <v>395001</v>
          </cell>
          <cell r="AW209">
            <v>395001</v>
          </cell>
          <cell r="AX209">
            <v>49497</v>
          </cell>
          <cell r="AY209">
            <v>0.12530854352267501</v>
          </cell>
          <cell r="BA209">
            <v>2</v>
          </cell>
        </row>
        <row r="210">
          <cell r="D210" t="str">
            <v>Salón - Espacio Apto para 50 personas (jornada completa)</v>
          </cell>
          <cell r="E210" t="str">
            <v>Espacio físico para 50 personas con baño, sillas y mesas, ubicado en la localidad de Suba, con disponibilidad de espacio exterior para desarrollo de actividades_x000D_
Jornada de 8 horas</v>
          </cell>
          <cell r="F210" t="str">
            <v>Unidad</v>
          </cell>
          <cell r="G210">
            <v>1</v>
          </cell>
          <cell r="H210" t="str">
            <v>Alquiler</v>
          </cell>
          <cell r="I210" t="str">
            <v>Sandra vargas</v>
          </cell>
          <cell r="J210">
            <v>46143</v>
          </cell>
          <cell r="K210" t="str">
            <v>JAC URBANIZACION EL LAGUITO DE SUBA</v>
          </cell>
          <cell r="L210" t="str">
            <v>Transcripción</v>
          </cell>
          <cell r="M210" t="str">
            <v>JAC URBANIZACION EL LAGUITO DE SUBA</v>
          </cell>
          <cell r="N210">
            <v>361345</v>
          </cell>
          <cell r="O210" t="str">
            <v>Precio sin Iva</v>
          </cell>
          <cell r="P210" t="str">
            <v>Si tiene IVA</v>
          </cell>
          <cell r="Q210">
            <v>361345</v>
          </cell>
          <cell r="R210">
            <v>68655.55</v>
          </cell>
          <cell r="S210">
            <v>430000.55</v>
          </cell>
          <cell r="T210">
            <v>361345</v>
          </cell>
          <cell r="U210">
            <v>430000.55</v>
          </cell>
          <cell r="V210" t="str">
            <v>Sandra Vargas</v>
          </cell>
          <cell r="W210">
            <v>46143</v>
          </cell>
          <cell r="X210" t="str">
            <v>JAC_PRADO_PINZON_19_03.pdf</v>
          </cell>
          <cell r="Y210" t="str">
            <v>Transcripción</v>
          </cell>
          <cell r="Z210" t="str">
            <v xml:space="preserve">JAC PRADO PINZON </v>
          </cell>
          <cell r="AA210">
            <v>302522</v>
          </cell>
          <cell r="AB210" t="str">
            <v>Precio sin Iva</v>
          </cell>
          <cell r="AC210" t="str">
            <v>Si tiene IVA</v>
          </cell>
          <cell r="AD210">
            <v>302522</v>
          </cell>
          <cell r="AE210">
            <v>57479.18</v>
          </cell>
          <cell r="AF210">
            <v>360001.18</v>
          </cell>
          <cell r="AG210">
            <v>302522</v>
          </cell>
          <cell r="AH210">
            <v>360001.18</v>
          </cell>
          <cell r="AV210">
            <v>395001</v>
          </cell>
          <cell r="AW210">
            <v>395001</v>
          </cell>
          <cell r="AX210">
            <v>49497</v>
          </cell>
          <cell r="AY210">
            <v>0.12530854352267501</v>
          </cell>
          <cell r="BA210">
            <v>2</v>
          </cell>
        </row>
        <row r="211">
          <cell r="D211" t="str">
            <v>Salón -Espacio Apto para 50 personas (media jornada)</v>
          </cell>
          <cell r="E211" t="str">
            <v>Espacio físico para 50 personas con baño, sillas y mesas, ubicado en la localidad de Suba, con disponibilidad de espacio exterior para desarrollo de actividades_x000D_
Jornada de 4 horas</v>
          </cell>
          <cell r="F211" t="str">
            <v>Unidad</v>
          </cell>
          <cell r="G211">
            <v>1</v>
          </cell>
          <cell r="H211" t="str">
            <v>Alquiler</v>
          </cell>
          <cell r="I211" t="str">
            <v>Sandra vargas</v>
          </cell>
          <cell r="J211">
            <v>46143</v>
          </cell>
          <cell r="K211" t="str">
            <v>JAC URBANIZACION EL LAGUITO DE SUBA</v>
          </cell>
          <cell r="L211" t="str">
            <v>Transcripción</v>
          </cell>
          <cell r="M211" t="str">
            <v>JAC URBANIZACION EL LAGUITO DE SUBA</v>
          </cell>
          <cell r="N211">
            <v>252101</v>
          </cell>
          <cell r="O211" t="str">
            <v>Precio sin Iva</v>
          </cell>
          <cell r="P211" t="str">
            <v>Si tiene IVA</v>
          </cell>
          <cell r="Q211">
            <v>252101</v>
          </cell>
          <cell r="R211">
            <v>47899.19</v>
          </cell>
          <cell r="S211">
            <v>300000.19</v>
          </cell>
          <cell r="T211">
            <v>252101</v>
          </cell>
          <cell r="U211">
            <v>300000.19</v>
          </cell>
          <cell r="V211" t="str">
            <v>Sandra Vargas</v>
          </cell>
          <cell r="W211">
            <v>46143</v>
          </cell>
          <cell r="X211" t="str">
            <v>JAC_PRADO_PINZON_19_03.pdf</v>
          </cell>
          <cell r="Y211" t="str">
            <v>Transcripción</v>
          </cell>
          <cell r="Z211" t="str">
            <v xml:space="preserve">JAC PRADO PINZON </v>
          </cell>
          <cell r="AA211">
            <v>302522</v>
          </cell>
          <cell r="AB211" t="str">
            <v>Precio sin Iva</v>
          </cell>
          <cell r="AC211" t="str">
            <v>Si tiene IVA</v>
          </cell>
          <cell r="AD211">
            <v>302522</v>
          </cell>
          <cell r="AE211">
            <v>57479.18</v>
          </cell>
          <cell r="AF211">
            <v>360001.18</v>
          </cell>
          <cell r="AG211">
            <v>302522</v>
          </cell>
          <cell r="AH211">
            <v>360001.18</v>
          </cell>
          <cell r="AV211">
            <v>330001</v>
          </cell>
          <cell r="AW211">
            <v>330001</v>
          </cell>
          <cell r="AX211">
            <v>42427</v>
          </cell>
          <cell r="AY211">
            <v>0.128566277071888</v>
          </cell>
          <cell r="BA211">
            <v>2</v>
          </cell>
        </row>
        <row r="212">
          <cell r="D212" t="str">
            <v>SAYCO</v>
          </cell>
          <cell r="E212" t="str">
            <v>Pago por concepto de derechos de emisión de contenido fonográfico, calculado para un aforo aproximado de 300 personas, con el fin de garantizar el cumplimiento de las obligaciones relacionadas con derechos de autor de compositores y autores musicales.</v>
          </cell>
          <cell r="F212" t="str">
            <v>Servicio</v>
          </cell>
          <cell r="G212">
            <v>1</v>
          </cell>
          <cell r="I212" t="str">
            <v>OPERADOR LOGÍSTICO</v>
          </cell>
          <cell r="J212" t="str">
            <v>OPERADOR LOGÍSTICO</v>
          </cell>
          <cell r="K212" t="str">
            <v>OPERADOR LOGÍSTICO</v>
          </cell>
          <cell r="L212" t="str">
            <v>OPERADOR LOGÍSTICO</v>
          </cell>
          <cell r="M212" t="str">
            <v>OPERADOR LOGÍSTICO</v>
          </cell>
          <cell r="Q212">
            <v>840000</v>
          </cell>
          <cell r="R212">
            <v>159600</v>
          </cell>
          <cell r="S212">
            <v>999600</v>
          </cell>
          <cell r="T212">
            <v>840000</v>
          </cell>
          <cell r="U212">
            <v>999600</v>
          </cell>
          <cell r="V212" t="str">
            <v>OPERADOR LOGÍSTICO</v>
          </cell>
          <cell r="W212" t="str">
            <v>OPERADOR LOGÍSTICO</v>
          </cell>
          <cell r="X212" t="str">
            <v>OPERADOR LOGÍSTICO</v>
          </cell>
          <cell r="Y212" t="str">
            <v>OPERADOR LOGÍSTICO</v>
          </cell>
          <cell r="Z212" t="str">
            <v> </v>
          </cell>
          <cell r="AA212" t="str">
            <v>OPERADOR LOGÍSTICO</v>
          </cell>
          <cell r="AB212" t="str">
            <v>OPERADOR LOGÍSTICO</v>
          </cell>
          <cell r="AC212" t="str">
            <v>OPERADOR LOGÍSTICO</v>
          </cell>
          <cell r="AD212" t="str">
            <v>OPERADOR LOGÍSTICO</v>
          </cell>
          <cell r="AE212" t="str">
            <v>OPERADOR LOGÍSTICO</v>
          </cell>
          <cell r="AF212" t="str">
            <v> </v>
          </cell>
          <cell r="AG212" t="str">
            <v> </v>
          </cell>
          <cell r="AH212" t="str">
            <v> </v>
          </cell>
          <cell r="AI212" t="str">
            <v>OPERADOR LOGÍSTICO</v>
          </cell>
          <cell r="AJ212" t="str">
            <v>OPERADOR LOGÍSTICO</v>
          </cell>
          <cell r="AK212" t="str">
            <v>OPERADOR LOGÍSTICO</v>
          </cell>
          <cell r="AL212" t="str">
            <v>OPERADOR LOGÍSTICO</v>
          </cell>
          <cell r="AM212" t="str">
            <v>FUNCAS</v>
          </cell>
          <cell r="AN212" t="str">
            <v>OPERADOR LOGÍSTICO</v>
          </cell>
          <cell r="AO212" t="str">
            <v>OPERADOR LOGÍSTICO</v>
          </cell>
          <cell r="AP212" t="str">
            <v>OPERADOR LOGÍSTICO</v>
          </cell>
          <cell r="AQ212">
            <v>588235</v>
          </cell>
          <cell r="AR212">
            <v>111765</v>
          </cell>
          <cell r="AS212">
            <v>700000</v>
          </cell>
          <cell r="AT212">
            <v>588235</v>
          </cell>
          <cell r="AU212">
            <v>700000</v>
          </cell>
          <cell r="AV212">
            <v>849800</v>
          </cell>
          <cell r="AW212">
            <v>849800</v>
          </cell>
          <cell r="AX212" t="str">
            <v/>
          </cell>
          <cell r="AY212">
            <v>0.24929999999999999</v>
          </cell>
        </row>
        <row r="213">
          <cell r="D213" t="str">
            <v>Servicio de internet</v>
          </cell>
          <cell r="E213" t="str">
            <v>SERVICIO DE INTERNET DE 200 MEGAS PARA REALIZAR TRANSMISIÓN POR PLATAFORMAS USTREAM PARA REDES SOCIALES. JORNADA 6 A 8 HORAS</v>
          </cell>
          <cell r="F213" t="str">
            <v>SERVICIO</v>
          </cell>
          <cell r="G213">
            <v>1</v>
          </cell>
          <cell r="Q213" t="str">
            <v> </v>
          </cell>
          <cell r="R213" t="str">
            <v> </v>
          </cell>
          <cell r="S213" t="str">
            <v> </v>
          </cell>
          <cell r="T213" t="str">
            <v> </v>
          </cell>
          <cell r="U213" t="str">
            <v> </v>
          </cell>
          <cell r="V213" t="str">
            <v>OPERADOR LOGÍSTICO</v>
          </cell>
          <cell r="W213" t="str">
            <v>OPERADOR LOGÍSTICO</v>
          </cell>
          <cell r="X213" t="str">
            <v>OPERADOR LOGÍSTICO</v>
          </cell>
          <cell r="Y213" t="str">
            <v>OPERADOR LOGÍSTICO</v>
          </cell>
          <cell r="Z213" t="str">
            <v>Estimación de precios con base en el proceso FDLSUBA-LP-013-2025 (140689) – Contrato 1000 – 2025, indexando el incremento de precios en el mercado con base en el Índice de Precios al Consumidor (IPC) para el mes de marzo de 2026, el cual fue de 5,56%.</v>
          </cell>
          <cell r="AA213" t="str">
            <v>OPERADOR LOGÍSTICO</v>
          </cell>
          <cell r="AB213" t="str">
            <v>OPERADOR LOGÍSTICO</v>
          </cell>
          <cell r="AC213" t="str">
            <v>OPERADOR LOGÍSTICO</v>
          </cell>
          <cell r="AD213" t="str">
            <v>OPERADOR LOGÍSTICO</v>
          </cell>
          <cell r="AE213" t="str">
            <v>OPERADOR LOGÍSTICO</v>
          </cell>
          <cell r="AF213">
            <v>885897.47899159673</v>
          </cell>
          <cell r="AG213">
            <v>168320.52100840339</v>
          </cell>
          <cell r="AH213">
            <v>1054218</v>
          </cell>
          <cell r="AI213" t="str">
            <v>OPERADOR LOGÍSTICO</v>
          </cell>
          <cell r="AJ213" t="str">
            <v>OPERADOR LOGÍSTICO</v>
          </cell>
          <cell r="AK213" t="str">
            <v>OPERADOR LOGÍSTICO</v>
          </cell>
          <cell r="AL213" t="str">
            <v>OPERADOR LOGÍSTICO</v>
          </cell>
          <cell r="AM213" t="str">
            <v>FUNCAS</v>
          </cell>
          <cell r="AN213" t="str">
            <v>OPERADOR LOGÍSTICO</v>
          </cell>
          <cell r="AO213" t="str">
            <v>OPERADOR LOGÍSTICO</v>
          </cell>
          <cell r="AP213" t="str">
            <v>OPERADOR LOGÍSTICO</v>
          </cell>
          <cell r="AQ213">
            <v>856021</v>
          </cell>
          <cell r="AR213">
            <v>162644</v>
          </cell>
          <cell r="AS213">
            <v>1018665</v>
          </cell>
          <cell r="AT213">
            <v>856021</v>
          </cell>
          <cell r="AU213">
            <v>1018665</v>
          </cell>
          <cell r="AV213">
            <v>952281</v>
          </cell>
          <cell r="AW213">
            <v>952281</v>
          </cell>
          <cell r="AX213" t="str">
            <v/>
          </cell>
          <cell r="AY213">
            <v>2.4299999999999999E-2</v>
          </cell>
        </row>
        <row r="214">
          <cell r="D214" t="str">
            <v>Servicio de lechona para evento</v>
          </cell>
          <cell r="E214" t="str">
            <v>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v>
          </cell>
          <cell r="F214" t="str">
            <v>SERVICIO</v>
          </cell>
          <cell r="G214">
            <v>1</v>
          </cell>
          <cell r="Q214" t="str">
            <v> </v>
          </cell>
          <cell r="R214" t="str">
            <v> </v>
          </cell>
          <cell r="S214" t="str">
            <v> </v>
          </cell>
          <cell r="T214" t="str">
            <v> </v>
          </cell>
          <cell r="U214" t="str">
            <v> </v>
          </cell>
          <cell r="V214" t="str">
            <v>OPERADOR LOGÍSTICO</v>
          </cell>
          <cell r="W214" t="str">
            <v>OPERADOR LOGÍSTICO</v>
          </cell>
          <cell r="X214" t="str">
            <v>OPERADOR LOGÍSTICO</v>
          </cell>
          <cell r="Y214" t="str">
            <v>OPERADOR LOGÍSTICO</v>
          </cell>
          <cell r="Z214" t="str">
            <v>Estimación de precios con base en el proceso FDLSUBA-LP-013-2025 (140689) – Contrato 1000 – 2025, indexando el incremento de precios en el mercado con base en el Índice de Precios al Consumidor (IPC) para el mes de marzo de 2026, el cual fue de 5,56%.</v>
          </cell>
          <cell r="AA214" t="str">
            <v>OPERADOR LOGÍSTICO</v>
          </cell>
          <cell r="AB214" t="str">
            <v>OPERADOR LOGÍSTICO</v>
          </cell>
          <cell r="AC214" t="str">
            <v>OPERADOR LOGÍSTICO</v>
          </cell>
          <cell r="AD214" t="str">
            <v>OPERADOR LOGÍSTICO</v>
          </cell>
          <cell r="AE214" t="str">
            <v>OPERADOR LOGÍSTICO</v>
          </cell>
          <cell r="AF214">
            <v>1456994.11764706</v>
          </cell>
          <cell r="AG214">
            <v>276828.88235294109</v>
          </cell>
          <cell r="AH214">
            <v>1733823</v>
          </cell>
          <cell r="AI214" t="str">
            <v>OPERADOR LOGÍSTICO</v>
          </cell>
          <cell r="AJ214" t="str">
            <v>OPERADOR LOGÍSTICO</v>
          </cell>
          <cell r="AK214" t="str">
            <v>OPERADOR LOGÍSTICO</v>
          </cell>
          <cell r="AL214" t="str">
            <v>OPERADOR LOGÍSTICO</v>
          </cell>
          <cell r="AM214" t="str">
            <v>FUNCAS</v>
          </cell>
          <cell r="AN214" t="str">
            <v>OPERADOR LOGÍSTICO</v>
          </cell>
          <cell r="AO214" t="str">
            <v>OPERADOR LOGÍSTICO</v>
          </cell>
          <cell r="AP214" t="str">
            <v>OPERADOR LOGÍSTICO</v>
          </cell>
          <cell r="AQ214">
            <v>1435462</v>
          </cell>
          <cell r="AR214">
            <v>272738</v>
          </cell>
          <cell r="AS214">
            <v>1708200</v>
          </cell>
          <cell r="AT214">
            <v>1435462</v>
          </cell>
          <cell r="AU214">
            <v>1708200</v>
          </cell>
          <cell r="AV214">
            <v>1582597</v>
          </cell>
          <cell r="AW214">
            <v>1582597</v>
          </cell>
          <cell r="AX214" t="str">
            <v/>
          </cell>
          <cell r="AY214">
            <v>1.0500000000000001E-2</v>
          </cell>
        </row>
        <row r="215">
          <cell r="D215" t="str">
            <v>Servicio de olla comunitaria</v>
          </cell>
          <cell r="E215" t="str">
            <v>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v>
          </cell>
          <cell r="F215" t="str">
            <v>SERVICIO</v>
          </cell>
          <cell r="G215">
            <v>1</v>
          </cell>
          <cell r="Q215" t="str">
            <v> </v>
          </cell>
          <cell r="R215" t="str">
            <v> </v>
          </cell>
          <cell r="S215" t="str">
            <v> </v>
          </cell>
          <cell r="T215" t="str">
            <v> </v>
          </cell>
          <cell r="U215" t="str">
            <v> </v>
          </cell>
          <cell r="V215" t="str">
            <v>OPERADOR LOGÍSTICO</v>
          </cell>
          <cell r="W215" t="str">
            <v>OPERADOR LOGÍSTICO</v>
          </cell>
          <cell r="X215" t="str">
            <v>OPERADOR LOGÍSTICO</v>
          </cell>
          <cell r="Y215" t="str">
            <v>OPERADOR LOGÍSTICO</v>
          </cell>
          <cell r="Z215" t="str">
            <v>Estimación de precios con base en el proceso FDLSUBA-LP-013-2025 (140689) – Contrato 1000 – 2025, indexando el incremento de precios en el mercado con base en el Índice de Precios al Consumidor (IPC) para el mes de marzo de 2026, el cual fue de 5,56%.</v>
          </cell>
          <cell r="AA215" t="str">
            <v>OPERADOR LOGÍSTICO</v>
          </cell>
          <cell r="AB215" t="str">
            <v>OPERADOR LOGÍSTICO</v>
          </cell>
          <cell r="AC215" t="str">
            <v>OPERADOR LOGÍSTICO</v>
          </cell>
          <cell r="AD215" t="str">
            <v>OPERADOR LOGÍSTICO</v>
          </cell>
          <cell r="AE215" t="str">
            <v>OPERADOR LOGÍSTICO</v>
          </cell>
          <cell r="AF215">
            <v>1113924.3697478999</v>
          </cell>
          <cell r="AG215">
            <v>211645.63025210079</v>
          </cell>
          <cell r="AH215">
            <v>1325570</v>
          </cell>
          <cell r="AI215" t="str">
            <v>OPERADOR LOGÍSTICO</v>
          </cell>
          <cell r="AJ215" t="str">
            <v>OPERADOR LOGÍSTICO</v>
          </cell>
          <cell r="AK215" t="str">
            <v>OPERADOR LOGÍSTICO</v>
          </cell>
          <cell r="AL215" t="str">
            <v>OPERADOR LOGÍSTICO</v>
          </cell>
          <cell r="AM215" t="str">
            <v>FUNCAS</v>
          </cell>
          <cell r="AN215" t="str">
            <v>OPERADOR LOGÍSTICO</v>
          </cell>
          <cell r="AO215" t="str">
            <v>OPERADOR LOGÍSTICO</v>
          </cell>
          <cell r="AP215" t="str">
            <v>OPERADOR LOGÍSTICO</v>
          </cell>
          <cell r="AQ215">
            <v>1097462</v>
          </cell>
          <cell r="AR215">
            <v>208518</v>
          </cell>
          <cell r="AS215">
            <v>1305980</v>
          </cell>
          <cell r="AT215">
            <v>1097462</v>
          </cell>
          <cell r="AU215">
            <v>1305980</v>
          </cell>
          <cell r="AV215">
            <v>1209952</v>
          </cell>
          <cell r="AW215">
            <v>1209952</v>
          </cell>
          <cell r="AX215" t="str">
            <v/>
          </cell>
          <cell r="AY215">
            <v>1.0500000000000001E-2</v>
          </cell>
        </row>
        <row r="216">
          <cell r="D216" t="str">
            <v>Servicio de torta para evento</v>
          </cell>
          <cell r="E216" t="str">
            <v>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v>
          </cell>
          <cell r="F216" t="str">
            <v>SERVICIO</v>
          </cell>
          <cell r="G216">
            <v>1</v>
          </cell>
          <cell r="Q216" t="str">
            <v> </v>
          </cell>
          <cell r="R216" t="str">
            <v> </v>
          </cell>
          <cell r="S216" t="str">
            <v> </v>
          </cell>
          <cell r="T216" t="str">
            <v> </v>
          </cell>
          <cell r="U216" t="str">
            <v> </v>
          </cell>
          <cell r="V216" t="str">
            <v>OPERADOR LOGÍSTICO</v>
          </cell>
          <cell r="W216" t="str">
            <v>OPERADOR LOGÍSTICO</v>
          </cell>
          <cell r="X216" t="str">
            <v>OPERADOR LOGÍSTICO</v>
          </cell>
          <cell r="Y216" t="str">
            <v>OPERADOR LOGÍSTICO</v>
          </cell>
          <cell r="Z216" t="str">
            <v>Estimación de precios con base en el proceso FDLSUBA-LP-013-2025 (140689) – Contrato 1000 – 2025, indexando el incremento de precios en el mercado con base en el Índice de Precios al Consumidor (IPC) para el mes de marzo de 2026, el cual fue de 5,56%.</v>
          </cell>
          <cell r="AA216" t="str">
            <v>OPERADOR LOGÍSTICO</v>
          </cell>
          <cell r="AB216" t="str">
            <v>OPERADOR LOGÍSTICO</v>
          </cell>
          <cell r="AC216" t="str">
            <v>OPERADOR LOGÍSTICO</v>
          </cell>
          <cell r="AD216" t="str">
            <v>OPERADOR LOGÍSTICO</v>
          </cell>
          <cell r="AE216" t="str">
            <v>OPERADOR LOGÍSTICO</v>
          </cell>
          <cell r="AF216">
            <v>1175352.9411764699</v>
          </cell>
          <cell r="AG216">
            <v>223317.0588235294</v>
          </cell>
          <cell r="AH216">
            <v>1398670</v>
          </cell>
          <cell r="AI216" t="str">
            <v>OPERADOR LOGÍSTICO</v>
          </cell>
          <cell r="AJ216" t="str">
            <v>OPERADOR LOGÍSTICO</v>
          </cell>
          <cell r="AK216" t="str">
            <v>OPERADOR LOGÍSTICO</v>
          </cell>
          <cell r="AL216" t="str">
            <v>OPERADOR LOGÍSTICO</v>
          </cell>
          <cell r="AM216" t="str">
            <v>FUNCAS</v>
          </cell>
          <cell r="AN216" t="str">
            <v>OPERADOR LOGÍSTICO</v>
          </cell>
          <cell r="AO216" t="str">
            <v>OPERADOR LOGÍSTICO</v>
          </cell>
          <cell r="AP216" t="str">
            <v>OPERADOR LOGÍSTICO</v>
          </cell>
          <cell r="AQ216">
            <v>1157983</v>
          </cell>
          <cell r="AR216">
            <v>220017</v>
          </cell>
          <cell r="AS216">
            <v>1378000</v>
          </cell>
          <cell r="AT216">
            <v>1157983</v>
          </cell>
          <cell r="AU216">
            <v>1378000</v>
          </cell>
          <cell r="AV216">
            <v>1276676</v>
          </cell>
          <cell r="AW216">
            <v>1276676</v>
          </cell>
          <cell r="AX216" t="str">
            <v/>
          </cell>
          <cell r="AY216">
            <v>1.0500000000000001E-2</v>
          </cell>
        </row>
        <row r="217">
          <cell r="D217" t="str">
            <v>Servicio de transporte zona Rural de la localidad de Suba para  10 personas por jornada</v>
          </cell>
          <cell r="E217" t="str">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17" t="str">
            <v>Servicio</v>
          </cell>
          <cell r="G217">
            <v>1</v>
          </cell>
          <cell r="H217" t="str">
            <v>Alquiler</v>
          </cell>
          <cell r="I217" t="str">
            <v>Luz Jimenez</v>
          </cell>
          <cell r="J217">
            <v>46085</v>
          </cell>
          <cell r="K217" t="str">
            <v>RUTRASCOL Transporte_Varios</v>
          </cell>
          <cell r="L217" t="str">
            <v>Gestión</v>
          </cell>
          <cell r="M217" t="str">
            <v>RUTRASCOL</v>
          </cell>
          <cell r="N217">
            <v>468000</v>
          </cell>
          <cell r="O217" t="str">
            <v>Precio sin Iva</v>
          </cell>
          <cell r="P217" t="str">
            <v>No tiene IVA</v>
          </cell>
          <cell r="Q217">
            <v>468000</v>
          </cell>
          <cell r="R217">
            <v>0</v>
          </cell>
          <cell r="S217">
            <v>468000</v>
          </cell>
          <cell r="T217">
            <v>468000</v>
          </cell>
          <cell r="U217">
            <v>468000</v>
          </cell>
          <cell r="V217" t="str">
            <v>Michael Bautista</v>
          </cell>
          <cell r="W217">
            <v>46140</v>
          </cell>
          <cell r="X217" t="str">
            <v>Destinos Express_ Varios</v>
          </cell>
          <cell r="Y217" t="str">
            <v>Gestión</v>
          </cell>
          <cell r="Z217" t="str">
            <v>DESTINOS EXPRESS</v>
          </cell>
          <cell r="AA217">
            <v>536000</v>
          </cell>
          <cell r="AB217" t="str">
            <v>Precio sin Iva</v>
          </cell>
          <cell r="AC217" t="str">
            <v>No tiene IVA</v>
          </cell>
          <cell r="AD217">
            <v>536000</v>
          </cell>
          <cell r="AE217">
            <v>0</v>
          </cell>
          <cell r="AF217">
            <v>536000</v>
          </cell>
          <cell r="AG217">
            <v>536000</v>
          </cell>
          <cell r="AH217">
            <v>536000</v>
          </cell>
          <cell r="AI217" t="str">
            <v>Michael Bautista</v>
          </cell>
          <cell r="AJ217">
            <v>46140</v>
          </cell>
          <cell r="AK217" t="str">
            <v>RENETUR.S.A</v>
          </cell>
          <cell r="AL217" t="str">
            <v>Gestión</v>
          </cell>
          <cell r="AM217" t="str">
            <v>RENETUR</v>
          </cell>
          <cell r="AN217">
            <v>700000</v>
          </cell>
          <cell r="AO217" t="str">
            <v>Precio sin Iva</v>
          </cell>
          <cell r="AP217" t="str">
            <v>No tiene IVA</v>
          </cell>
          <cell r="AQ217">
            <v>700000</v>
          </cell>
          <cell r="AR217">
            <v>0</v>
          </cell>
          <cell r="AS217">
            <v>700000</v>
          </cell>
          <cell r="AT217">
            <v>700000</v>
          </cell>
          <cell r="AU217">
            <v>700000</v>
          </cell>
          <cell r="AV217">
            <v>568000</v>
          </cell>
          <cell r="AW217">
            <v>568000</v>
          </cell>
          <cell r="AX217">
            <v>119264</v>
          </cell>
          <cell r="AY217">
            <v>0.20997183098591499</v>
          </cell>
          <cell r="BA217">
            <v>3</v>
          </cell>
          <cell r="BB217" t="str">
            <v>Primer ítem sin IVA  // Segundo ítem sin IVA // Tercer ítem sin IVA</v>
          </cell>
        </row>
        <row r="218">
          <cell r="D218" t="str">
            <v>Servicio de transporte zona Rural de la localidad de Suba para  10 personas por trayecto</v>
          </cell>
          <cell r="E218" t="str">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18" t="str">
            <v>Servicio</v>
          </cell>
          <cell r="G218">
            <v>1</v>
          </cell>
          <cell r="H218" t="str">
            <v>Alquiler</v>
          </cell>
          <cell r="I218" t="str">
            <v>Luz Jimenez</v>
          </cell>
          <cell r="J218">
            <v>46085</v>
          </cell>
          <cell r="K218" t="str">
            <v>Destinos Express_ Varios.pdf</v>
          </cell>
          <cell r="L218" t="str">
            <v>Transcripción</v>
          </cell>
          <cell r="M218" t="str">
            <v>Destino Express</v>
          </cell>
          <cell r="N218">
            <v>385000</v>
          </cell>
          <cell r="O218" t="str">
            <v>Precio sin Iva</v>
          </cell>
          <cell r="P218" t="str">
            <v>No tiene IVA</v>
          </cell>
          <cell r="Q218">
            <v>385000</v>
          </cell>
          <cell r="R218">
            <v>0</v>
          </cell>
          <cell r="S218">
            <v>385000</v>
          </cell>
          <cell r="T218">
            <v>385000</v>
          </cell>
          <cell r="U218">
            <v>385000</v>
          </cell>
          <cell r="V218" t="str">
            <v>Michael Bautista</v>
          </cell>
          <cell r="W218">
            <v>46140</v>
          </cell>
          <cell r="X218" t="str">
            <v>RENETUR.S.A</v>
          </cell>
          <cell r="Y218" t="str">
            <v>Gestión</v>
          </cell>
          <cell r="Z218" t="str">
            <v>RENETUR</v>
          </cell>
          <cell r="AA218">
            <v>350000</v>
          </cell>
          <cell r="AB218" t="str">
            <v>Precio sin Iva</v>
          </cell>
          <cell r="AC218" t="str">
            <v>No tiene IVA</v>
          </cell>
          <cell r="AD218">
            <v>350000</v>
          </cell>
          <cell r="AE218">
            <v>0</v>
          </cell>
          <cell r="AF218">
            <v>350000</v>
          </cell>
          <cell r="AG218">
            <v>350000</v>
          </cell>
          <cell r="AH218">
            <v>350000</v>
          </cell>
          <cell r="AI218" t="str">
            <v>Laura Pisco</v>
          </cell>
          <cell r="AJ218">
            <v>46149</v>
          </cell>
          <cell r="AK218" t="str">
            <v>RUTRASCOL Transporte_Varios</v>
          </cell>
          <cell r="AL218" t="str">
            <v>Transcripción</v>
          </cell>
          <cell r="AM218" t="str">
            <v>RUTRASCOL Transporte_Varios</v>
          </cell>
          <cell r="AN218">
            <v>285000</v>
          </cell>
          <cell r="AO218" t="str">
            <v>Precio sin Iva</v>
          </cell>
          <cell r="AP218" t="str">
            <v>No tiene IVA</v>
          </cell>
          <cell r="AQ218">
            <v>285000</v>
          </cell>
          <cell r="AR218">
            <v>0</v>
          </cell>
          <cell r="AS218">
            <v>285000</v>
          </cell>
          <cell r="AT218">
            <v>285000</v>
          </cell>
          <cell r="AU218">
            <v>285000</v>
          </cell>
          <cell r="AV218">
            <v>340000</v>
          </cell>
          <cell r="AW218">
            <v>340000</v>
          </cell>
          <cell r="AX218">
            <v>50744</v>
          </cell>
          <cell r="AY218">
            <v>0.14924705882352901</v>
          </cell>
          <cell r="BA218">
            <v>3</v>
          </cell>
          <cell r="BB218" t="str">
            <v>Primer ítem sin IVA  // Segundo ítem sin IVA // Tercer ítem sin IVA</v>
          </cell>
        </row>
        <row r="219">
          <cell r="D219" t="str">
            <v>Servicio de transporte zona Rural de la localidad de Suba para  16 a 30 personas por jornada</v>
          </cell>
          <cell r="E219" t="str">
            <v>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19" t="str">
            <v>Servicio</v>
          </cell>
          <cell r="G219">
            <v>1</v>
          </cell>
          <cell r="H219" t="str">
            <v>Alquiler</v>
          </cell>
          <cell r="I219" t="str">
            <v>Luz Jimenez</v>
          </cell>
          <cell r="J219">
            <v>46085</v>
          </cell>
          <cell r="K219" t="str">
            <v>RUTRASCOL Transporte_Varios</v>
          </cell>
          <cell r="L219" t="str">
            <v>Gestión</v>
          </cell>
          <cell r="M219" t="str">
            <v>RUTRASCOL</v>
          </cell>
          <cell r="N219">
            <v>715000</v>
          </cell>
          <cell r="O219" t="str">
            <v>Precio sin Iva</v>
          </cell>
          <cell r="P219" t="str">
            <v>No tiene IVA</v>
          </cell>
          <cell r="Q219">
            <v>715000</v>
          </cell>
          <cell r="R219">
            <v>0</v>
          </cell>
          <cell r="S219">
            <v>715000</v>
          </cell>
          <cell r="T219">
            <v>715000</v>
          </cell>
          <cell r="U219">
            <v>715000</v>
          </cell>
          <cell r="V219" t="str">
            <v>Luz Jimenez</v>
          </cell>
          <cell r="W219">
            <v>46085</v>
          </cell>
          <cell r="X219" t="str">
            <v>Destinos Express_ Varios.pdf</v>
          </cell>
          <cell r="Y219" t="str">
            <v>Transcripción</v>
          </cell>
          <cell r="Z219" t="str">
            <v>Destino Express</v>
          </cell>
          <cell r="AA219">
            <v>715000</v>
          </cell>
          <cell r="AB219" t="str">
            <v>Precio sin Iva</v>
          </cell>
          <cell r="AC219" t="str">
            <v>No tiene IVA</v>
          </cell>
          <cell r="AD219">
            <v>715000</v>
          </cell>
          <cell r="AE219">
            <v>0</v>
          </cell>
          <cell r="AF219">
            <v>715000</v>
          </cell>
          <cell r="AG219">
            <v>715000</v>
          </cell>
          <cell r="AH219">
            <v>715000</v>
          </cell>
          <cell r="AV219">
            <v>715000</v>
          </cell>
          <cell r="AW219">
            <v>715000</v>
          </cell>
          <cell r="AX219">
            <v>0</v>
          </cell>
          <cell r="AY219">
            <v>0</v>
          </cell>
          <cell r="BA219">
            <v>2</v>
          </cell>
          <cell r="BB219" t="str">
            <v>Primer ítem sin IVA  // Segundo ítem sin IVA</v>
          </cell>
        </row>
        <row r="220">
          <cell r="D220" t="str">
            <v>Servicio de transporte zona Rural de la localidad de Suba para  16 a 30 personas por trayecto</v>
          </cell>
          <cell r="E220" t="str">
            <v>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0" t="str">
            <v>Servicio</v>
          </cell>
          <cell r="G220">
            <v>1</v>
          </cell>
          <cell r="H220" t="str">
            <v>Alquiler</v>
          </cell>
          <cell r="I220" t="str">
            <v>Luz Jimenez</v>
          </cell>
          <cell r="J220">
            <v>46085</v>
          </cell>
          <cell r="K220" t="str">
            <v>RUTRASCOL Transporte_Varios</v>
          </cell>
          <cell r="L220" t="str">
            <v>Gestión</v>
          </cell>
          <cell r="M220" t="str">
            <v>RUTRASCOL</v>
          </cell>
          <cell r="N220">
            <v>390000</v>
          </cell>
          <cell r="O220" t="str">
            <v>Precio sin Iva</v>
          </cell>
          <cell r="P220" t="str">
            <v>No tiene IVA</v>
          </cell>
          <cell r="Q220">
            <v>390000</v>
          </cell>
          <cell r="R220">
            <v>0</v>
          </cell>
          <cell r="S220">
            <v>390000</v>
          </cell>
          <cell r="T220">
            <v>390000</v>
          </cell>
          <cell r="U220">
            <v>390000</v>
          </cell>
          <cell r="V220" t="str">
            <v>Michael Bautista</v>
          </cell>
          <cell r="W220">
            <v>46141</v>
          </cell>
          <cell r="X220" t="str">
            <v>RENETUR.S.A</v>
          </cell>
          <cell r="Y220" t="str">
            <v>Gestión</v>
          </cell>
          <cell r="Z220" t="str">
            <v>RENETUR</v>
          </cell>
          <cell r="AA220">
            <v>510000</v>
          </cell>
          <cell r="AB220" t="str">
            <v>Precio sin Iva</v>
          </cell>
          <cell r="AC220" t="str">
            <v>No tiene IVA</v>
          </cell>
          <cell r="AD220">
            <v>510000</v>
          </cell>
          <cell r="AE220">
            <v>0</v>
          </cell>
          <cell r="AF220">
            <v>510000</v>
          </cell>
          <cell r="AG220">
            <v>510000</v>
          </cell>
          <cell r="AH220">
            <v>510000</v>
          </cell>
          <cell r="AV220">
            <v>450000</v>
          </cell>
          <cell r="AW220">
            <v>450000</v>
          </cell>
          <cell r="AX220">
            <v>84853</v>
          </cell>
          <cell r="AY220">
            <v>0.18856222222222199</v>
          </cell>
          <cell r="AZ220" t="str">
            <v>SE DEJAN DOS COTIZACIONES</v>
          </cell>
          <cell r="BA220">
            <v>2</v>
          </cell>
          <cell r="BB220" t="str">
            <v>Primer ítem sin IVA  // Segundo ítem sin IVA</v>
          </cell>
        </row>
        <row r="221">
          <cell r="D221" t="str">
            <v>Servicio de transporte zona Rural de la localidad de Suba para  40 personas por jornada</v>
          </cell>
          <cell r="E221" t="str">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1" t="str">
            <v>Servicio</v>
          </cell>
          <cell r="G221">
            <v>1</v>
          </cell>
          <cell r="H221" t="str">
            <v>Alquiler</v>
          </cell>
          <cell r="I221" t="str">
            <v>Luz Jimenez</v>
          </cell>
          <cell r="J221">
            <v>46085</v>
          </cell>
          <cell r="K221" t="str">
            <v>RUTRASCOL Transporte_Varios</v>
          </cell>
          <cell r="L221" t="str">
            <v>Gestión</v>
          </cell>
          <cell r="M221" t="str">
            <v>RUTRASCOL</v>
          </cell>
          <cell r="N221">
            <v>850000</v>
          </cell>
          <cell r="O221" t="str">
            <v>Precio sin Iva</v>
          </cell>
          <cell r="P221" t="str">
            <v>No tiene IVA</v>
          </cell>
          <cell r="Q221">
            <v>850000</v>
          </cell>
          <cell r="R221">
            <v>0</v>
          </cell>
          <cell r="S221">
            <v>850000</v>
          </cell>
          <cell r="T221">
            <v>850000</v>
          </cell>
          <cell r="U221">
            <v>850000</v>
          </cell>
          <cell r="V221" t="str">
            <v>Luz Jimenez</v>
          </cell>
          <cell r="W221">
            <v>46085</v>
          </cell>
          <cell r="X221" t="str">
            <v>Destinos Express_ Varios.pdf</v>
          </cell>
          <cell r="Y221" t="str">
            <v>Transcripción</v>
          </cell>
          <cell r="Z221" t="str">
            <v>Destino Express</v>
          </cell>
          <cell r="AA221">
            <v>790000</v>
          </cell>
          <cell r="AB221" t="str">
            <v>Precio sin Iva</v>
          </cell>
          <cell r="AC221" t="str">
            <v>No tiene IVA</v>
          </cell>
          <cell r="AD221">
            <v>790000</v>
          </cell>
          <cell r="AE221">
            <v>0</v>
          </cell>
          <cell r="AF221">
            <v>790000</v>
          </cell>
          <cell r="AG221">
            <v>790000</v>
          </cell>
          <cell r="AH221">
            <v>790000</v>
          </cell>
          <cell r="AV221">
            <v>820000</v>
          </cell>
          <cell r="AW221">
            <v>820000</v>
          </cell>
          <cell r="AX221">
            <v>42426</v>
          </cell>
          <cell r="AY221">
            <v>5.1739024390243901E-2</v>
          </cell>
          <cell r="BA221">
            <v>2</v>
          </cell>
          <cell r="BB221" t="str">
            <v>Primer ítem sin IVA  // Segundo ítem sin IVA</v>
          </cell>
        </row>
        <row r="222">
          <cell r="D222" t="str">
            <v>Servicio de transporte zona Rural de la localidad de Suba para  40 personas por trayecto</v>
          </cell>
          <cell r="E222" t="str">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2" t="str">
            <v>Servicio</v>
          </cell>
          <cell r="G222">
            <v>1</v>
          </cell>
          <cell r="H222" t="str">
            <v>Alquiler</v>
          </cell>
          <cell r="I222" t="str">
            <v>Luz Jimenez</v>
          </cell>
          <cell r="J222">
            <v>46085</v>
          </cell>
          <cell r="K222" t="str">
            <v>Destinos Express_ Varios.pdf</v>
          </cell>
          <cell r="L222" t="str">
            <v>Transcripción</v>
          </cell>
          <cell r="M222" t="str">
            <v>Destino Express</v>
          </cell>
          <cell r="N222">
            <v>590000</v>
          </cell>
          <cell r="O222" t="str">
            <v>Precio sin Iva</v>
          </cell>
          <cell r="P222" t="str">
            <v>No tiene IVA</v>
          </cell>
          <cell r="Q222">
            <v>590000</v>
          </cell>
          <cell r="R222">
            <v>0</v>
          </cell>
          <cell r="S222">
            <v>590000</v>
          </cell>
          <cell r="T222">
            <v>590000</v>
          </cell>
          <cell r="U222">
            <v>590000</v>
          </cell>
          <cell r="V222" t="str">
            <v>Michael Bautista</v>
          </cell>
          <cell r="W222">
            <v>46140</v>
          </cell>
          <cell r="X222" t="str">
            <v>RENETUR.S.A</v>
          </cell>
          <cell r="Y222" t="str">
            <v>GEstión</v>
          </cell>
          <cell r="Z222" t="str">
            <v>RENETURS</v>
          </cell>
          <cell r="AA222">
            <v>570000</v>
          </cell>
          <cell r="AB222" t="str">
            <v>Precio sin Iva</v>
          </cell>
          <cell r="AC222" t="str">
            <v>No tiene IVA</v>
          </cell>
          <cell r="AD222">
            <v>570000</v>
          </cell>
          <cell r="AE222">
            <v>0</v>
          </cell>
          <cell r="AF222">
            <v>570000</v>
          </cell>
          <cell r="AG222">
            <v>570000</v>
          </cell>
          <cell r="AH222">
            <v>570000</v>
          </cell>
          <cell r="AI222" t="str">
            <v>Laura Pisco</v>
          </cell>
          <cell r="AJ222">
            <v>46149</v>
          </cell>
          <cell r="AK222" t="str">
            <v>RUTRASCOL Transporte_Varios</v>
          </cell>
          <cell r="AL222" t="str">
            <v>Transcripción</v>
          </cell>
          <cell r="AM222" t="str">
            <v>RUTRASCOL Transporte_Varios</v>
          </cell>
          <cell r="AN222">
            <v>466000</v>
          </cell>
          <cell r="AO222" t="str">
            <v>Precio sin Iva</v>
          </cell>
          <cell r="AP222" t="str">
            <v>No tiene IVA</v>
          </cell>
          <cell r="AQ222">
            <v>466000</v>
          </cell>
          <cell r="AR222">
            <v>0</v>
          </cell>
          <cell r="AS222">
            <v>466000</v>
          </cell>
          <cell r="AT222">
            <v>466000</v>
          </cell>
          <cell r="AU222">
            <v>466000</v>
          </cell>
          <cell r="AV222">
            <v>542000</v>
          </cell>
          <cell r="AW222">
            <v>542000</v>
          </cell>
          <cell r="AX222">
            <v>66573</v>
          </cell>
          <cell r="AY222">
            <v>0.12282841328413301</v>
          </cell>
          <cell r="BA222">
            <v>3</v>
          </cell>
          <cell r="BB222" t="str">
            <v>Primer ítem sin IVA  // Segundo ítem sin IVA // Tercer ítem sin IVA</v>
          </cell>
        </row>
        <row r="223">
          <cell r="D223" t="str">
            <v>Servicio de transporte zona Urbana de la localidad de Suba para  10 personas por jornada</v>
          </cell>
          <cell r="E223" t="str">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3" t="str">
            <v>Unidad</v>
          </cell>
          <cell r="G223">
            <v>1</v>
          </cell>
          <cell r="H223" t="str">
            <v>Compra</v>
          </cell>
          <cell r="I223" t="str">
            <v>Luz Jimenez</v>
          </cell>
          <cell r="J223">
            <v>46085</v>
          </cell>
          <cell r="K223" t="str">
            <v>RUTRASCOL Transporte_Varios</v>
          </cell>
          <cell r="L223" t="str">
            <v>Gestión</v>
          </cell>
          <cell r="M223" t="str">
            <v>RUTRASCOL</v>
          </cell>
          <cell r="N223">
            <v>317000</v>
          </cell>
          <cell r="O223" t="str">
            <v>Precio sin Iva</v>
          </cell>
          <cell r="P223" t="str">
            <v>No tiene IVA</v>
          </cell>
          <cell r="Q223">
            <v>317000</v>
          </cell>
          <cell r="R223">
            <v>0</v>
          </cell>
          <cell r="S223">
            <v>317000</v>
          </cell>
          <cell r="T223">
            <v>317000</v>
          </cell>
          <cell r="U223">
            <v>317000</v>
          </cell>
          <cell r="V223" t="str">
            <v>Michael Bautista</v>
          </cell>
          <cell r="W223">
            <v>46140</v>
          </cell>
          <cell r="X223" t="str">
            <v>RENETUR.S.A</v>
          </cell>
          <cell r="Y223" t="str">
            <v>GESTION</v>
          </cell>
          <cell r="Z223" t="str">
            <v>RENETUR</v>
          </cell>
          <cell r="AA223">
            <v>350000</v>
          </cell>
          <cell r="AB223" t="str">
            <v>Precio sin Iva</v>
          </cell>
          <cell r="AC223" t="str">
            <v>No tiene IVA</v>
          </cell>
          <cell r="AD223">
            <v>350000</v>
          </cell>
          <cell r="AE223">
            <v>0</v>
          </cell>
          <cell r="AF223">
            <v>350000</v>
          </cell>
          <cell r="AG223">
            <v>350000</v>
          </cell>
          <cell r="AH223">
            <v>350000</v>
          </cell>
          <cell r="AQ223">
            <v>0</v>
          </cell>
          <cell r="AR223">
            <v>0</v>
          </cell>
          <cell r="AS223">
            <v>0</v>
          </cell>
          <cell r="AT223">
            <v>0</v>
          </cell>
          <cell r="AU223">
            <v>0</v>
          </cell>
          <cell r="AV223">
            <v>222333</v>
          </cell>
          <cell r="AW223">
            <v>222333</v>
          </cell>
          <cell r="AX223">
            <v>193252</v>
          </cell>
          <cell r="AY223">
            <v>0.86920070344932998</v>
          </cell>
          <cell r="AZ223" t="str">
            <v>SE DEJAN DOS COTIZACIONES</v>
          </cell>
          <cell r="BA223">
            <v>2</v>
          </cell>
          <cell r="BB223" t="str">
            <v>Primer ítem sin IVA  // Segundo ítem sin IVA // Tercer ítem sin IVA</v>
          </cell>
        </row>
        <row r="224">
          <cell r="D224" t="str">
            <v>Servicio de transporte zona Urbana de la localidad de Suba para  10 personas por trayecto</v>
          </cell>
          <cell r="E224" t="str">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4" t="str">
            <v>Servicio</v>
          </cell>
          <cell r="G224">
            <v>1</v>
          </cell>
          <cell r="H224" t="str">
            <v>Alquiler</v>
          </cell>
          <cell r="I224" t="str">
            <v>Michael Bautista</v>
          </cell>
          <cell r="J224">
            <v>46140</v>
          </cell>
          <cell r="K224" t="str">
            <v>RENETUR.S.A</v>
          </cell>
          <cell r="L224" t="str">
            <v>Gestión</v>
          </cell>
          <cell r="M224" t="str">
            <v>RENETUR</v>
          </cell>
          <cell r="N224">
            <v>175000</v>
          </cell>
          <cell r="O224" t="str">
            <v>Precio sin Iva</v>
          </cell>
          <cell r="P224" t="str">
            <v>No tiene IVA</v>
          </cell>
          <cell r="Q224">
            <v>175000</v>
          </cell>
          <cell r="R224">
            <v>0</v>
          </cell>
          <cell r="S224">
            <v>175000</v>
          </cell>
          <cell r="T224">
            <v>175000</v>
          </cell>
          <cell r="U224">
            <v>175000</v>
          </cell>
          <cell r="V224" t="str">
            <v>Luz Jimenez</v>
          </cell>
          <cell r="W224">
            <v>46085</v>
          </cell>
          <cell r="X224" t="str">
            <v>RUTRASCOL Transporte_Varios</v>
          </cell>
          <cell r="Y224" t="str">
            <v>Gestión</v>
          </cell>
          <cell r="Z224" t="str">
            <v>RUTRASCOL</v>
          </cell>
          <cell r="AA224">
            <v>165000</v>
          </cell>
          <cell r="AB224" t="str">
            <v>Precio sin Iva</v>
          </cell>
          <cell r="AC224" t="str">
            <v>No tiene IVA</v>
          </cell>
          <cell r="AD224">
            <v>165000</v>
          </cell>
          <cell r="AE224">
            <v>0</v>
          </cell>
          <cell r="AF224">
            <v>165000</v>
          </cell>
          <cell r="AG224">
            <v>165000</v>
          </cell>
          <cell r="AH224">
            <v>165000</v>
          </cell>
          <cell r="AQ224">
            <v>0</v>
          </cell>
          <cell r="AR224">
            <v>0</v>
          </cell>
          <cell r="AS224">
            <v>0</v>
          </cell>
          <cell r="AT224">
            <v>0</v>
          </cell>
          <cell r="AU224">
            <v>0</v>
          </cell>
          <cell r="AV224">
            <v>113333</v>
          </cell>
          <cell r="AW224">
            <v>113333</v>
          </cell>
          <cell r="AX224">
            <v>98277</v>
          </cell>
          <cell r="AY224">
            <v>0.86715255044867801</v>
          </cell>
          <cell r="AZ224" t="str">
            <v>SE DEJAN DOS COTIZACIONES</v>
          </cell>
          <cell r="BA224">
            <v>2</v>
          </cell>
          <cell r="BB224" t="str">
            <v>Primer ítem sin IVA  // Segundo ítem sin IVA // Tercer ítem sin IVA</v>
          </cell>
        </row>
        <row r="225">
          <cell r="D225" t="str">
            <v>Servicio de transporte zona Urbana de la localidad de Suba para  16  a 30 personas por trayecto</v>
          </cell>
          <cell r="E225" t="str">
            <v>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5" t="str">
            <v>Servicio</v>
          </cell>
          <cell r="G225">
            <v>1</v>
          </cell>
          <cell r="H225" t="str">
            <v>Alquiler</v>
          </cell>
          <cell r="I225" t="str">
            <v>Luz Jimenez</v>
          </cell>
          <cell r="J225">
            <v>46085</v>
          </cell>
          <cell r="K225" t="str">
            <v>RUTRASCOL Transporte_Varios</v>
          </cell>
          <cell r="L225" t="str">
            <v>Gestión</v>
          </cell>
          <cell r="M225" t="str">
            <v>RUTRASCOL</v>
          </cell>
          <cell r="N225">
            <v>300000</v>
          </cell>
          <cell r="O225" t="str">
            <v>Precio sin Iva</v>
          </cell>
          <cell r="P225" t="str">
            <v>No tiene IVA</v>
          </cell>
          <cell r="Q225">
            <v>300000</v>
          </cell>
          <cell r="R225">
            <v>0</v>
          </cell>
          <cell r="S225">
            <v>300000</v>
          </cell>
          <cell r="T225">
            <v>300000</v>
          </cell>
          <cell r="U225">
            <v>300000</v>
          </cell>
          <cell r="V225" t="str">
            <v>Luz Jimenez</v>
          </cell>
          <cell r="W225">
            <v>46085</v>
          </cell>
          <cell r="X225" t="str">
            <v>Destinos Express_ Varios.pdf</v>
          </cell>
          <cell r="Y225" t="str">
            <v>Transcripción</v>
          </cell>
          <cell r="Z225" t="str">
            <v>Destino Express</v>
          </cell>
          <cell r="AA225">
            <v>400000</v>
          </cell>
          <cell r="AB225" t="str">
            <v>Precio sin Iva</v>
          </cell>
          <cell r="AC225" t="str">
            <v>No tiene IVA</v>
          </cell>
          <cell r="AD225">
            <v>400000</v>
          </cell>
          <cell r="AE225">
            <v>0</v>
          </cell>
          <cell r="AF225">
            <v>400000</v>
          </cell>
          <cell r="AG225">
            <v>400000</v>
          </cell>
          <cell r="AH225">
            <v>400000</v>
          </cell>
          <cell r="AI225" t="str">
            <v>Michael Bautista</v>
          </cell>
          <cell r="AJ225">
            <v>46141</v>
          </cell>
          <cell r="AK225" t="str">
            <v>RENETUR.S.A</v>
          </cell>
          <cell r="AL225" t="str">
            <v>Gestión</v>
          </cell>
          <cell r="AM225" t="str">
            <v>RENETUR</v>
          </cell>
          <cell r="AN225">
            <v>250000</v>
          </cell>
          <cell r="AO225" t="str">
            <v>Precio sin Iva</v>
          </cell>
          <cell r="AP225" t="str">
            <v>No tiene IVA</v>
          </cell>
          <cell r="AQ225">
            <v>250000</v>
          </cell>
          <cell r="AR225">
            <v>0</v>
          </cell>
          <cell r="AS225">
            <v>250000</v>
          </cell>
          <cell r="AT225">
            <v>250000</v>
          </cell>
          <cell r="AU225">
            <v>250000</v>
          </cell>
          <cell r="AV225">
            <v>316667</v>
          </cell>
          <cell r="AW225">
            <v>316667</v>
          </cell>
          <cell r="AX225">
            <v>76376</v>
          </cell>
          <cell r="AY225">
            <v>0.24118711453987901</v>
          </cell>
          <cell r="BA225">
            <v>3</v>
          </cell>
          <cell r="BB225" t="str">
            <v>Primer ítem sin IVA  // Segundo ítem sin IVA // Tercer ítem sin IVA</v>
          </cell>
        </row>
        <row r="226">
          <cell r="D226" t="str">
            <v>Servicio de transporte zona Urbana de la localidad de Suba para  16 a 30 personas por jornada</v>
          </cell>
          <cell r="E226" t="str">
            <v>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6" t="str">
            <v>Servicio</v>
          </cell>
          <cell r="G226">
            <v>1</v>
          </cell>
          <cell r="H226" t="str">
            <v>Alquiler</v>
          </cell>
          <cell r="I226" t="str">
            <v>Luz Jimenez</v>
          </cell>
          <cell r="J226">
            <v>46085</v>
          </cell>
          <cell r="K226" t="str">
            <v>Destinos Express_ Varios.pdf</v>
          </cell>
          <cell r="L226" t="str">
            <v>Transcripción</v>
          </cell>
          <cell r="M226" t="str">
            <v>Destino Express</v>
          </cell>
          <cell r="N226">
            <v>585000</v>
          </cell>
          <cell r="O226" t="str">
            <v>Precio sin Iva</v>
          </cell>
          <cell r="P226" t="str">
            <v>No tiene IVA</v>
          </cell>
          <cell r="Q226">
            <v>585000</v>
          </cell>
          <cell r="R226">
            <v>0</v>
          </cell>
          <cell r="S226">
            <v>585000</v>
          </cell>
          <cell r="T226">
            <v>585000</v>
          </cell>
          <cell r="U226">
            <v>585000</v>
          </cell>
          <cell r="V226" t="str">
            <v>Michael Bautista</v>
          </cell>
          <cell r="W226">
            <v>46140</v>
          </cell>
          <cell r="X226" t="str">
            <v>RENETUR.S.A</v>
          </cell>
          <cell r="Y226" t="str">
            <v>Gestión</v>
          </cell>
          <cell r="Z226" t="str">
            <v>RENETURS</v>
          </cell>
          <cell r="AA226">
            <v>500000</v>
          </cell>
          <cell r="AB226" t="str">
            <v>Precio sin Iva</v>
          </cell>
          <cell r="AC226" t="str">
            <v>No tiene IVA</v>
          </cell>
          <cell r="AD226">
            <v>500000</v>
          </cell>
          <cell r="AE226">
            <v>0</v>
          </cell>
          <cell r="AF226">
            <v>500000</v>
          </cell>
          <cell r="AG226">
            <v>500000</v>
          </cell>
          <cell r="AH226">
            <v>500000</v>
          </cell>
          <cell r="AI226" t="str">
            <v>Luz Jimenez</v>
          </cell>
          <cell r="AJ226">
            <v>46085</v>
          </cell>
          <cell r="AK226" t="str">
            <v>RUTRASCOL Transporte_Varios</v>
          </cell>
          <cell r="AL226" t="str">
            <v>Gestión</v>
          </cell>
          <cell r="AM226" t="str">
            <v>RUTRASCOL</v>
          </cell>
          <cell r="AN226">
            <v>590000</v>
          </cell>
          <cell r="AO226" t="str">
            <v>Precio sin Iva</v>
          </cell>
          <cell r="AP226" t="str">
            <v>No tiene IVA</v>
          </cell>
          <cell r="AQ226">
            <v>590000</v>
          </cell>
          <cell r="AR226">
            <v>0</v>
          </cell>
          <cell r="AS226">
            <v>590000</v>
          </cell>
          <cell r="AT226">
            <v>590000</v>
          </cell>
          <cell r="AU226">
            <v>590000</v>
          </cell>
          <cell r="AV226">
            <v>558333</v>
          </cell>
          <cell r="AW226">
            <v>558333</v>
          </cell>
          <cell r="AX226">
            <v>50580</v>
          </cell>
          <cell r="AY226">
            <v>9.0591098860357502E-2</v>
          </cell>
          <cell r="BA226">
            <v>3</v>
          </cell>
          <cell r="BB226" t="str">
            <v>Primer ítem sin IVA  // Segundo ítem sin IVA // Tercer ítem sin IVA</v>
          </cell>
        </row>
        <row r="227">
          <cell r="D227" t="str">
            <v>Servicio de transporte zona Urbana de la localidad de Suba para  40 personas por jornada</v>
          </cell>
          <cell r="E227" t="str">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7" t="str">
            <v>Servicio</v>
          </cell>
          <cell r="G227">
            <v>1</v>
          </cell>
          <cell r="H227" t="str">
            <v>Alquiler</v>
          </cell>
          <cell r="I227" t="str">
            <v>Michael Bautista</v>
          </cell>
          <cell r="J227">
            <v>46085</v>
          </cell>
          <cell r="K227" t="str">
            <v>RUTRASCOL Transporte_Varios</v>
          </cell>
          <cell r="L227" t="str">
            <v>Gestión</v>
          </cell>
          <cell r="M227" t="str">
            <v>RUTRASCOL</v>
          </cell>
          <cell r="N227">
            <v>850000</v>
          </cell>
          <cell r="O227" t="str">
            <v>Precio sin Iva</v>
          </cell>
          <cell r="P227" t="str">
            <v>No tiene IVA</v>
          </cell>
          <cell r="Q227">
            <v>850000</v>
          </cell>
          <cell r="R227">
            <v>0</v>
          </cell>
          <cell r="S227">
            <v>850000</v>
          </cell>
          <cell r="T227">
            <v>850000</v>
          </cell>
          <cell r="U227">
            <v>850000</v>
          </cell>
          <cell r="V227" t="str">
            <v xml:space="preserve">Michael Bautista </v>
          </cell>
          <cell r="W227">
            <v>46085</v>
          </cell>
          <cell r="X227" t="str">
            <v>Destinos Express_ Varios.pdf</v>
          </cell>
          <cell r="Y227" t="str">
            <v>Transcripción</v>
          </cell>
          <cell r="Z227" t="str">
            <v>Destino Express</v>
          </cell>
          <cell r="AA227">
            <v>640000</v>
          </cell>
          <cell r="AB227" t="str">
            <v>Precio sin Iva</v>
          </cell>
          <cell r="AC227" t="str">
            <v>No tiene IVA</v>
          </cell>
          <cell r="AD227">
            <v>640000</v>
          </cell>
          <cell r="AE227">
            <v>0</v>
          </cell>
          <cell r="AF227">
            <v>640000</v>
          </cell>
          <cell r="AG227">
            <v>640000</v>
          </cell>
          <cell r="AH227">
            <v>640000</v>
          </cell>
          <cell r="AI227" t="str">
            <v>MICHAEL</v>
          </cell>
          <cell r="AJ227">
            <v>46133</v>
          </cell>
          <cell r="AK227" t="str">
            <v>RENETUR.S.A.pdf</v>
          </cell>
          <cell r="AL227" t="str">
            <v>Gestión</v>
          </cell>
          <cell r="AM227" t="str">
            <v>RENETUR S.A</v>
          </cell>
          <cell r="AN227">
            <v>540000</v>
          </cell>
          <cell r="AO227" t="str">
            <v>Precio sin Iva</v>
          </cell>
          <cell r="AP227" t="str">
            <v>No tiene IVA</v>
          </cell>
          <cell r="AQ227">
            <v>540000</v>
          </cell>
          <cell r="AR227">
            <v>0</v>
          </cell>
          <cell r="AS227">
            <v>540000</v>
          </cell>
          <cell r="AT227">
            <v>540000</v>
          </cell>
          <cell r="AU227">
            <v>540000</v>
          </cell>
          <cell r="AV227">
            <v>676667</v>
          </cell>
          <cell r="AW227">
            <v>676667</v>
          </cell>
          <cell r="AX227">
            <v>158219</v>
          </cell>
          <cell r="AY227">
            <v>0.23382106708321801</v>
          </cell>
          <cell r="BA227">
            <v>3</v>
          </cell>
          <cell r="BB227" t="str">
            <v>Primer ítem sin IVA  // Segundo ítem sin IVA // Tercer ítem sin IVA</v>
          </cell>
        </row>
        <row r="228">
          <cell r="D228" t="str">
            <v>Servicio de transporte zona Urbana de la localidad de Suba para  40 personas por trayecto</v>
          </cell>
          <cell r="E228" t="str">
            <v>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ell>
          <cell r="F228" t="str">
            <v>Servicio</v>
          </cell>
          <cell r="G228">
            <v>1</v>
          </cell>
          <cell r="H228" t="str">
            <v>Alquiler</v>
          </cell>
          <cell r="I228" t="str">
            <v>Laura Pisco</v>
          </cell>
          <cell r="J228">
            <v>46149</v>
          </cell>
          <cell r="K228" t="str">
            <v>RUTRASCOL Transporte_Varios</v>
          </cell>
          <cell r="L228" t="str">
            <v>Transcripción</v>
          </cell>
          <cell r="M228" t="str">
            <v>RUTRASCOL Transporte_Varios</v>
          </cell>
          <cell r="N228">
            <v>325000</v>
          </cell>
          <cell r="O228" t="str">
            <v>Precio sin Iva</v>
          </cell>
          <cell r="P228" t="str">
            <v>No tiene IVA</v>
          </cell>
          <cell r="Q228">
            <v>325000</v>
          </cell>
          <cell r="R228">
            <v>0</v>
          </cell>
          <cell r="S228">
            <v>325000</v>
          </cell>
          <cell r="T228">
            <v>325000</v>
          </cell>
          <cell r="U228">
            <v>325000</v>
          </cell>
          <cell r="V228" t="str">
            <v>Laura Pisco</v>
          </cell>
          <cell r="W228">
            <v>46149</v>
          </cell>
          <cell r="X228" t="str">
            <v>RENETUR.S.A</v>
          </cell>
          <cell r="Y228" t="str">
            <v>Transcripción</v>
          </cell>
          <cell r="Z228" t="str">
            <v>RENETURS</v>
          </cell>
          <cell r="AA228">
            <v>270000</v>
          </cell>
          <cell r="AB228" t="str">
            <v>Precio sin Iva</v>
          </cell>
          <cell r="AC228" t="str">
            <v>No tiene IVA</v>
          </cell>
          <cell r="AD228">
            <v>270000</v>
          </cell>
          <cell r="AE228">
            <v>0</v>
          </cell>
          <cell r="AF228">
            <v>270000</v>
          </cell>
          <cell r="AG228">
            <v>270000</v>
          </cell>
          <cell r="AH228">
            <v>270000</v>
          </cell>
          <cell r="AV228">
            <v>297500</v>
          </cell>
          <cell r="AW228">
            <v>297500</v>
          </cell>
          <cell r="AX228">
            <v>38891</v>
          </cell>
          <cell r="AY228">
            <v>0.13072605042016799</v>
          </cell>
          <cell r="AZ228" t="str">
            <v>DOS COTIZACIONES</v>
          </cell>
          <cell r="BA228">
            <v>2</v>
          </cell>
          <cell r="BB228" t="str">
            <v>Primer ítem sin IVA  // Segundo ítem sin IVA</v>
          </cell>
        </row>
        <row r="229">
          <cell r="D229" t="str">
            <v>Silicona en Barra Delgada (7 mm) paquete   x 12 unidades</v>
          </cell>
          <cell r="E229" t="str">
            <v>Paquete de barras de silicona de diámetro delgado (7 mm) y 20 cm de largo. Elaborada con resina de alta transparencia y adherencia rápida, diseñada para pistolas de calor estándar x 12 unidades</v>
          </cell>
          <cell r="F229" t="str">
            <v>Unidad</v>
          </cell>
          <cell r="G229">
            <v>1</v>
          </cell>
          <cell r="H229" t="str">
            <v>Compra</v>
          </cell>
          <cell r="I229" t="str">
            <v>Luz Jimenez</v>
          </cell>
          <cell r="J229">
            <v>46091</v>
          </cell>
          <cell r="K229" t="str">
            <v>INVER Y DISTRIBUIDORES DIAMOND_Varios</v>
          </cell>
          <cell r="L229" t="str">
            <v>Gestión</v>
          </cell>
          <cell r="M229" t="str">
            <v>INVER Y DISTRIBUIDORES DIAMOND</v>
          </cell>
          <cell r="N229">
            <v>13950</v>
          </cell>
          <cell r="O229" t="str">
            <v>Precio sin Iva</v>
          </cell>
          <cell r="P229" t="str">
            <v>Si tiene IVA</v>
          </cell>
          <cell r="Q229">
            <v>13950</v>
          </cell>
          <cell r="R229">
            <v>2650.5</v>
          </cell>
          <cell r="S229">
            <v>16600.5</v>
          </cell>
          <cell r="T229">
            <v>13950</v>
          </cell>
          <cell r="U229">
            <v>16600.5</v>
          </cell>
          <cell r="V229" t="str">
            <v>Luz Jimenez</v>
          </cell>
          <cell r="W229">
            <v>46091</v>
          </cell>
          <cell r="X229" t="str">
            <v>Papeleria Paraiso.pdf</v>
          </cell>
          <cell r="Y229" t="str">
            <v>Gestión</v>
          </cell>
          <cell r="Z229" t="str">
            <v>Distribuidora Paraiso</v>
          </cell>
          <cell r="AA229">
            <v>14800</v>
          </cell>
          <cell r="AB229" t="str">
            <v>IVA incluido</v>
          </cell>
          <cell r="AC229" t="str">
            <v>Si tiene IVA</v>
          </cell>
          <cell r="AD229">
            <v>12436.97478991597</v>
          </cell>
          <cell r="AE229">
            <v>2363.025210084033</v>
          </cell>
          <cell r="AF229">
            <v>14800</v>
          </cell>
          <cell r="AG229">
            <v>14800</v>
          </cell>
          <cell r="AH229">
            <v>14800</v>
          </cell>
          <cell r="AI229" t="str">
            <v>Luz Jimenez</v>
          </cell>
          <cell r="AJ229">
            <v>46091</v>
          </cell>
          <cell r="AK229" t="str">
            <v>Grafitos_Silicona En Barra Delgada.pdf</v>
          </cell>
          <cell r="AL229" t="str">
            <v>Gestión</v>
          </cell>
          <cell r="AM229" t="str">
            <v>Grafitos</v>
          </cell>
          <cell r="AN229">
            <v>14000</v>
          </cell>
          <cell r="AO229" t="str">
            <v>IVA incluido</v>
          </cell>
          <cell r="AP229" t="str">
            <v>Si tiene IVA</v>
          </cell>
          <cell r="AQ229">
            <v>11764.705882352941</v>
          </cell>
          <cell r="AR229">
            <v>2235.2941176470599</v>
          </cell>
          <cell r="AS229">
            <v>14000</v>
          </cell>
          <cell r="AT229">
            <v>14000</v>
          </cell>
          <cell r="AU229">
            <v>14000</v>
          </cell>
          <cell r="AV229">
            <v>15134</v>
          </cell>
          <cell r="AW229">
            <v>15134</v>
          </cell>
          <cell r="AX229">
            <v>1332</v>
          </cell>
          <cell r="AY229">
            <v>8.8013743887934398E-2</v>
          </cell>
          <cell r="BA229">
            <v>3</v>
          </cell>
        </row>
        <row r="230">
          <cell r="D230" t="str">
            <v>Silicona en Barra Gruesa  (12 mm) paquete x 12 unidades</v>
          </cell>
          <cell r="E230" t="str">
            <v>Paquete de barras de silicona de diámetro delgado (12 mm) y 20 cm de largo. Elaborada con resina de alta transparencia y adherencia rápida, diseñada para pistolas de calor estándar x 12 unidades</v>
          </cell>
          <cell r="F230" t="str">
            <v>Unidad</v>
          </cell>
          <cell r="G230">
            <v>1</v>
          </cell>
          <cell r="H230" t="str">
            <v>Compra</v>
          </cell>
          <cell r="I230" t="str">
            <v>Luz Jimenez</v>
          </cell>
          <cell r="J230">
            <v>46091</v>
          </cell>
          <cell r="K230" t="str">
            <v>INVER Y DISTRIBUIDORES DIAMOND_Varios</v>
          </cell>
          <cell r="L230" t="str">
            <v>Gestión</v>
          </cell>
          <cell r="M230" t="str">
            <v>INVER Y DISTRIBUIDORES DIAMOND</v>
          </cell>
          <cell r="N230">
            <v>13950</v>
          </cell>
          <cell r="O230" t="str">
            <v>Precio sin Iva</v>
          </cell>
          <cell r="P230" t="str">
            <v>Si tiene IVA</v>
          </cell>
          <cell r="Q230">
            <v>13950</v>
          </cell>
          <cell r="R230">
            <v>2650.5</v>
          </cell>
          <cell r="S230">
            <v>16600.5</v>
          </cell>
          <cell r="U230">
            <v>16600.5</v>
          </cell>
          <cell r="V230" t="str">
            <v>Luz Jimenez</v>
          </cell>
          <cell r="W230">
            <v>46091</v>
          </cell>
          <cell r="X230" t="str">
            <v>Papeleria Paraiso.pdf</v>
          </cell>
          <cell r="Y230" t="str">
            <v>Gestión</v>
          </cell>
          <cell r="Z230" t="str">
            <v>Distribuidora Paraiso</v>
          </cell>
          <cell r="AA230">
            <v>14800</v>
          </cell>
          <cell r="AB230" t="str">
            <v>IVA incluido</v>
          </cell>
          <cell r="AC230" t="str">
            <v>Si tiene IVA</v>
          </cell>
          <cell r="AD230">
            <v>12436.97478991597</v>
          </cell>
          <cell r="AE230">
            <v>2363.025210084033</v>
          </cell>
          <cell r="AF230">
            <v>14800</v>
          </cell>
          <cell r="AG230">
            <v>14800</v>
          </cell>
          <cell r="AH230">
            <v>14800</v>
          </cell>
          <cell r="AI230" t="str">
            <v>Luz Jimenez</v>
          </cell>
          <cell r="AJ230">
            <v>46091</v>
          </cell>
          <cell r="AK230" t="str">
            <v>Papeleria estacion de suba_Varios</v>
          </cell>
          <cell r="AL230" t="str">
            <v>Gestión</v>
          </cell>
          <cell r="AM230" t="str">
            <v>Papeleria Estacion de suba</v>
          </cell>
          <cell r="AN230">
            <v>14400</v>
          </cell>
          <cell r="AO230" t="str">
            <v>IVA incluido</v>
          </cell>
          <cell r="AP230" t="str">
            <v>Si tiene IVA</v>
          </cell>
          <cell r="AQ230">
            <v>12100.84033613445</v>
          </cell>
          <cell r="AR230">
            <v>2299.159663865546</v>
          </cell>
          <cell r="AS230">
            <v>14400</v>
          </cell>
          <cell r="AT230">
            <v>14400</v>
          </cell>
          <cell r="AU230">
            <v>14400</v>
          </cell>
          <cell r="AV230">
            <v>15267</v>
          </cell>
          <cell r="AW230">
            <v>15267</v>
          </cell>
          <cell r="AX230">
            <v>1172</v>
          </cell>
          <cell r="AY230">
            <v>7.6766882819152393E-2</v>
          </cell>
          <cell r="BA230">
            <v>3</v>
          </cell>
        </row>
        <row r="231">
          <cell r="D231" t="str">
            <v>SMS texto masivo</v>
          </cell>
          <cell r="E231" t="str">
            <v>SMS DE TEXTO MASIVO
SHORT MESSAGE SERVICE) CONFIRMACIÓN DE ENTREGA CON DÍA Y HORA CAPACIDAD DE 160 CARACTERES APRÓX CLARO-MOVISTAR-TIGO</v>
          </cell>
          <cell r="F231" t="str">
            <v>SERVICIO</v>
          </cell>
          <cell r="G231">
            <v>1</v>
          </cell>
          <cell r="Q231" t="str">
            <v> </v>
          </cell>
          <cell r="R231" t="str">
            <v> </v>
          </cell>
          <cell r="S231" t="str">
            <v> </v>
          </cell>
          <cell r="T231" t="str">
            <v> </v>
          </cell>
          <cell r="U231" t="str">
            <v> </v>
          </cell>
          <cell r="V231" t="str">
            <v>OPERADOR LOGÍSTICO</v>
          </cell>
          <cell r="W231" t="str">
            <v>OPERADOR LOGÍSTICO</v>
          </cell>
          <cell r="X231" t="str">
            <v>OPERADOR LOGÍSTICO</v>
          </cell>
          <cell r="Y231" t="str">
            <v>OPERADOR LOGÍSTICO</v>
          </cell>
          <cell r="Z231" t="str">
            <v>Estimación de precios con base en el proceso FDLSUBA-LP-013-2025 (140689) – Contrato 1000 – 2025, indexando el incremento de precios en el mercado con base en el Índice de Precios al Consumidor (IPC) para el mes de marzo de 2026, el cual fue de 5,56%.</v>
          </cell>
          <cell r="AA231" t="str">
            <v>OPERADOR LOGÍSTICO</v>
          </cell>
          <cell r="AB231" t="str">
            <v>OPERADOR LOGÍSTICO</v>
          </cell>
          <cell r="AC231" t="str">
            <v>OPERADOR LOGÍSTICO</v>
          </cell>
          <cell r="AD231" t="str">
            <v>OPERADOR LOGÍSTICO</v>
          </cell>
          <cell r="AE231" t="str">
            <v>OPERADOR LOGÍSTICO</v>
          </cell>
          <cell r="AF231">
            <v>152126.89075630251</v>
          </cell>
          <cell r="AG231">
            <v>28904.10924369748</v>
          </cell>
          <cell r="AH231">
            <v>181031</v>
          </cell>
          <cell r="AI231" t="str">
            <v>OPERADOR LOGÍSTICO</v>
          </cell>
          <cell r="AJ231" t="str">
            <v>OPERADOR LOGÍSTICO</v>
          </cell>
          <cell r="AK231" t="str">
            <v>OPERADOR LOGÍSTICO</v>
          </cell>
          <cell r="AL231" t="str">
            <v>OPERADOR LOGÍSTICO</v>
          </cell>
          <cell r="AM231" t="str">
            <v>FUNCAS</v>
          </cell>
          <cell r="AN231" t="str">
            <v>OPERADOR LOGÍSTICO</v>
          </cell>
          <cell r="AO231" t="str">
            <v>OPERADOR LOGÍSTICO</v>
          </cell>
          <cell r="AP231" t="str">
            <v>OPERADOR LOGÍSTICO</v>
          </cell>
          <cell r="AQ231">
            <v>146996</v>
          </cell>
          <cell r="AR231">
            <v>27929</v>
          </cell>
          <cell r="AS231">
            <v>174925</v>
          </cell>
          <cell r="AT231">
            <v>146996</v>
          </cell>
          <cell r="AU231">
            <v>174925</v>
          </cell>
          <cell r="AV231">
            <v>163526</v>
          </cell>
          <cell r="AW231">
            <v>163526</v>
          </cell>
          <cell r="AX231" t="str">
            <v/>
          </cell>
          <cell r="AY231">
            <v>2.4299999999999999E-2</v>
          </cell>
        </row>
        <row r="232">
          <cell r="D232" t="str">
            <v>Sobres para carta</v>
          </cell>
          <cell r="E232" t="str">
            <v>Sobres para carta DL (110 x 220 mm) paquete x 100</v>
          </cell>
          <cell r="F232" t="str">
            <v>Unidad</v>
          </cell>
          <cell r="G232">
            <v>1</v>
          </cell>
          <cell r="H232" t="str">
            <v>Compra</v>
          </cell>
          <cell r="I232" t="str">
            <v>Sandra Vargas</v>
          </cell>
          <cell r="J232">
            <v>46069</v>
          </cell>
          <cell r="K232" t="str">
            <v>Papeleria estacion de suba_Varios</v>
          </cell>
          <cell r="L232" t="str">
            <v>Gestión</v>
          </cell>
          <cell r="M232" t="str">
            <v>PAPELERIA LA ESTACION DE SUBA</v>
          </cell>
          <cell r="N232">
            <v>8200</v>
          </cell>
          <cell r="O232" t="str">
            <v>IVA incluido</v>
          </cell>
          <cell r="P232" t="str">
            <v>Si tiene IVA</v>
          </cell>
          <cell r="Q232">
            <v>6890.7563025210084</v>
          </cell>
          <cell r="R232">
            <v>1309.2436974789921</v>
          </cell>
          <cell r="S232">
            <v>8200</v>
          </cell>
          <cell r="T232">
            <v>8200</v>
          </cell>
          <cell r="U232">
            <v>8200</v>
          </cell>
          <cell r="V232" t="str">
            <v>Sandra Vargas</v>
          </cell>
          <cell r="W232">
            <v>46069</v>
          </cell>
          <cell r="X232" t="str">
            <v>La gran papeleria_SOBRE BLANCO RECTANGULAR PQ X 100</v>
          </cell>
          <cell r="Y232" t="str">
            <v>Gestión</v>
          </cell>
          <cell r="Z232" t="str">
            <v>LA GRAN PAPELERIA</v>
          </cell>
          <cell r="AA232">
            <v>10500</v>
          </cell>
          <cell r="AB232" t="str">
            <v>IVA incluido</v>
          </cell>
          <cell r="AC232" t="str">
            <v>Si tiene IVA</v>
          </cell>
          <cell r="AD232">
            <v>8823.5294117647063</v>
          </cell>
          <cell r="AE232">
            <v>1676.4705882352939</v>
          </cell>
          <cell r="AF232">
            <v>10500</v>
          </cell>
          <cell r="AG232">
            <v>10500</v>
          </cell>
          <cell r="AH232">
            <v>10500</v>
          </cell>
          <cell r="AI232" t="str">
            <v>Sandra Vargas</v>
          </cell>
          <cell r="AJ232">
            <v>46069</v>
          </cell>
          <cell r="AK232" t="str">
            <v>Tienda estudiantil_Varios</v>
          </cell>
          <cell r="AL232" t="str">
            <v>Gestión</v>
          </cell>
          <cell r="AM232" t="str">
            <v>Tienda Estudiantil</v>
          </cell>
          <cell r="AN232">
            <v>6126</v>
          </cell>
          <cell r="AO232" t="str">
            <v>Precio sin Iva</v>
          </cell>
          <cell r="AP232" t="str">
            <v>Si tiene IVA</v>
          </cell>
          <cell r="AQ232">
            <v>6126</v>
          </cell>
          <cell r="AR232">
            <v>1163.94</v>
          </cell>
          <cell r="AS232">
            <v>7289.9400000000014</v>
          </cell>
          <cell r="AT232">
            <v>6126</v>
          </cell>
          <cell r="AU232">
            <v>7289.9400000000014</v>
          </cell>
          <cell r="AV232">
            <v>8663</v>
          </cell>
          <cell r="AW232">
            <v>8663</v>
          </cell>
          <cell r="AX232">
            <v>1654</v>
          </cell>
          <cell r="AY232">
            <v>0.19092693062449501</v>
          </cell>
          <cell r="BA232">
            <v>3</v>
          </cell>
        </row>
        <row r="233">
          <cell r="D233" t="str">
            <v>SUGA BAJA COMPLEJIDAD</v>
          </cell>
          <cell r="E233" t="str">
            <v>TRÁMITE SUGA DE BAJA COMPLEJIDAD</v>
          </cell>
          <cell r="F233" t="str">
            <v>SERVICIO</v>
          </cell>
          <cell r="G233">
            <v>1</v>
          </cell>
          <cell r="Q233" t="str">
            <v> </v>
          </cell>
          <cell r="R233" t="str">
            <v> </v>
          </cell>
          <cell r="S233" t="str">
            <v> </v>
          </cell>
          <cell r="T233" t="str">
            <v> </v>
          </cell>
          <cell r="U233" t="str">
            <v> </v>
          </cell>
          <cell r="V233" t="str">
            <v>OPERADOR LOGÍSTICO</v>
          </cell>
          <cell r="W233" t="str">
            <v>OPERADOR LOGÍSTICO</v>
          </cell>
          <cell r="X233" t="str">
            <v>OPERADOR LOGÍSTICO</v>
          </cell>
          <cell r="Y233" t="str">
            <v>OPERADOR LOGÍSTICO</v>
          </cell>
          <cell r="Z233" t="str">
            <v>Estimación de precios con base en el proceso FDLSUBA-LP-013-2025 (140689) – Contrato 1000 – 2025, indexando el incremento de precios en el mercado con base en el Índice de Precios al Consumidor (IPC) para el mes de marzo de 2026, el cual fue de 5,56%.</v>
          </cell>
          <cell r="AA233" t="str">
            <v>OPERADOR LOGÍSTICO</v>
          </cell>
          <cell r="AB233" t="str">
            <v>OPERADOR LOGÍSTICO</v>
          </cell>
          <cell r="AC233" t="str">
            <v>OPERADOR LOGÍSTICO</v>
          </cell>
          <cell r="AD233" t="str">
            <v>OPERADOR LOGÍSTICO</v>
          </cell>
          <cell r="AE233" t="str">
            <v>OPERADOR LOGÍSTICO</v>
          </cell>
          <cell r="AF233">
            <v>245826.05042016809</v>
          </cell>
          <cell r="AG233">
            <v>46706.94957983194</v>
          </cell>
          <cell r="AH233">
            <v>292533</v>
          </cell>
          <cell r="AI233" t="str">
            <v>OPERADOR LOGÍSTICO</v>
          </cell>
          <cell r="AJ233" t="str">
            <v>OPERADOR LOGÍSTICO</v>
          </cell>
          <cell r="AK233" t="str">
            <v>OPERADOR LOGÍSTICO</v>
          </cell>
          <cell r="AL233" t="str">
            <v>OPERADOR LOGÍSTICO</v>
          </cell>
          <cell r="AM233" t="str">
            <v>FUNCAS</v>
          </cell>
          <cell r="AN233" t="str">
            <v>OPERADOR LOGÍSTICO</v>
          </cell>
          <cell r="AO233" t="str">
            <v>OPERADOR LOGÍSTICO</v>
          </cell>
          <cell r="AP233" t="str">
            <v>OPERADOR LOGÍSTICO</v>
          </cell>
          <cell r="AQ233">
            <v>237536</v>
          </cell>
          <cell r="AR233">
            <v>45132</v>
          </cell>
          <cell r="AS233">
            <v>282668</v>
          </cell>
          <cell r="AT233">
            <v>237536</v>
          </cell>
          <cell r="AU233">
            <v>282668</v>
          </cell>
          <cell r="AV233">
            <v>264247</v>
          </cell>
          <cell r="AW233">
            <v>264247</v>
          </cell>
          <cell r="AX233" t="str">
            <v/>
          </cell>
          <cell r="AY233">
            <v>2.4299999999999999E-2</v>
          </cell>
        </row>
        <row r="234">
          <cell r="D234" t="str">
            <v>SUGA MEDIANA COMPLEJIDAD</v>
          </cell>
          <cell r="E234" t="str">
            <v>TRÁMITE SUGA DE MEDIANA COMPLEJIDAD</v>
          </cell>
          <cell r="F234" t="str">
            <v>SERVICIO</v>
          </cell>
          <cell r="G234">
            <v>1</v>
          </cell>
          <cell r="Q234" t="str">
            <v> </v>
          </cell>
          <cell r="R234" t="str">
            <v> </v>
          </cell>
          <cell r="S234" t="str">
            <v> </v>
          </cell>
          <cell r="T234" t="str">
            <v> </v>
          </cell>
          <cell r="U234" t="str">
            <v> </v>
          </cell>
          <cell r="V234" t="str">
            <v>OPERADOR LOGÍSTICO</v>
          </cell>
          <cell r="W234" t="str">
            <v>OPERADOR LOGÍSTICO</v>
          </cell>
          <cell r="X234" t="str">
            <v>OPERADOR LOGÍSTICO</v>
          </cell>
          <cell r="Y234" t="str">
            <v>OPERADOR LOGÍSTICO</v>
          </cell>
          <cell r="Z234" t="str">
            <v>Estimación de precios con base en el proceso FDLSUBA-LP-013-2025 (140689) – Contrato 1000 – 2025, indexando el incremento de precios en el mercado con base en el Índice de Precios al Consumidor (IPC) para el mes de marzo de 2026, el cual fue de 5,56%.</v>
          </cell>
          <cell r="AA234" t="str">
            <v>OPERADOR LOGÍSTICO</v>
          </cell>
          <cell r="AB234" t="str">
            <v>OPERADOR LOGÍSTICO</v>
          </cell>
          <cell r="AC234" t="str">
            <v>OPERADOR LOGÍSTICO</v>
          </cell>
          <cell r="AD234" t="str">
            <v>OPERADOR LOGÍSTICO</v>
          </cell>
          <cell r="AE234" t="str">
            <v>OPERADOR LOGÍSTICO</v>
          </cell>
          <cell r="AF234">
            <v>5251589.9159663897</v>
          </cell>
          <cell r="AG234">
            <v>997802.08403361356</v>
          </cell>
          <cell r="AH234">
            <v>6249392</v>
          </cell>
          <cell r="AI234" t="str">
            <v>OPERADOR LOGÍSTICO</v>
          </cell>
          <cell r="AJ234" t="str">
            <v>OPERADOR LOGÍSTICO</v>
          </cell>
          <cell r="AK234" t="str">
            <v>OPERADOR LOGÍSTICO</v>
          </cell>
          <cell r="AL234" t="str">
            <v>OPERADOR LOGÍSTICO</v>
          </cell>
          <cell r="AM234" t="str">
            <v>FUNCAS</v>
          </cell>
          <cell r="AN234" t="str">
            <v>OPERADOR LOGÍSTICO</v>
          </cell>
          <cell r="AO234" t="str">
            <v>OPERADOR LOGÍSTICO</v>
          </cell>
          <cell r="AP234" t="str">
            <v>OPERADOR LOGÍSTICO</v>
          </cell>
          <cell r="AQ234">
            <v>5074481</v>
          </cell>
          <cell r="AR234">
            <v>964151</v>
          </cell>
          <cell r="AS234">
            <v>6038632</v>
          </cell>
          <cell r="AT234">
            <v>5074481</v>
          </cell>
          <cell r="AU234">
            <v>6038632</v>
          </cell>
          <cell r="AV234">
            <v>5645111</v>
          </cell>
          <cell r="AW234">
            <v>5645111</v>
          </cell>
          <cell r="AX234" t="str">
            <v/>
          </cell>
          <cell r="AY234">
            <v>2.4299999999999999E-2</v>
          </cell>
        </row>
        <row r="235">
          <cell r="D235" t="str">
            <v>SUGA ALTA COMPLEJIDAD</v>
          </cell>
          <cell r="E235" t="str">
            <v>TRÁMITE SUGA DE ALTA COMPLEJIDAD</v>
          </cell>
          <cell r="F235" t="str">
            <v>SERVICIO</v>
          </cell>
          <cell r="G235">
            <v>1</v>
          </cell>
          <cell r="Q235" t="str">
            <v> </v>
          </cell>
          <cell r="R235" t="str">
            <v> </v>
          </cell>
          <cell r="S235" t="str">
            <v> </v>
          </cell>
          <cell r="T235" t="str">
            <v> </v>
          </cell>
          <cell r="U235" t="str">
            <v> </v>
          </cell>
          <cell r="V235" t="str">
            <v>OPERADOR LOGÍSTICO</v>
          </cell>
          <cell r="W235" t="str">
            <v>OPERADOR LOGÍSTICO</v>
          </cell>
          <cell r="X235" t="str">
            <v>OPERADOR LOGÍSTICO</v>
          </cell>
          <cell r="Y235" t="str">
            <v>OPERADOR LOGÍSTICO</v>
          </cell>
          <cell r="Z235" t="str">
            <v>Estimación de precios con base en el proceso FDLSUBA-LP-013-2025 (140689) – Contrato 1000 – 2025, indexando el incremento de precios en el mercado con base en el Índice de Precios al Consumidor (IPC) para el mes de marzo de 2026, el cual fue de 5,56%.</v>
          </cell>
          <cell r="AA235" t="str">
            <v>OPERADOR LOGÍSTICO</v>
          </cell>
          <cell r="AB235" t="str">
            <v>OPERADOR LOGÍSTICO</v>
          </cell>
          <cell r="AC235" t="str">
            <v>OPERADOR LOGÍSTICO</v>
          </cell>
          <cell r="AD235" t="str">
            <v>OPERADOR LOGÍSTICO</v>
          </cell>
          <cell r="AE235" t="str">
            <v>OPERADOR LOGÍSTICO</v>
          </cell>
          <cell r="AF235">
            <v>8664169.7478991598</v>
          </cell>
          <cell r="AG235">
            <v>1646192.25210084</v>
          </cell>
          <cell r="AH235">
            <v>10310362</v>
          </cell>
          <cell r="AI235" t="str">
            <v>OPERADOR LOGÍSTICO</v>
          </cell>
          <cell r="AJ235" t="str">
            <v>OPERADOR LOGÍSTICO</v>
          </cell>
          <cell r="AK235" t="str">
            <v>OPERADOR LOGÍSTICO</v>
          </cell>
          <cell r="AL235" t="str">
            <v>OPERADOR LOGÍSTICO</v>
          </cell>
          <cell r="AM235" t="str">
            <v>FUNCAS</v>
          </cell>
          <cell r="AN235" t="str">
            <v>OPERADOR LOGÍSTICO</v>
          </cell>
          <cell r="AO235" t="str">
            <v>OPERADOR LOGÍSTICO</v>
          </cell>
          <cell r="AP235" t="str">
            <v>OPERADOR LOGÍSTICO</v>
          </cell>
          <cell r="AQ235">
            <v>8371971</v>
          </cell>
          <cell r="AR235">
            <v>1590675</v>
          </cell>
          <cell r="AS235">
            <v>9962646</v>
          </cell>
          <cell r="AT235">
            <v>8371971</v>
          </cell>
          <cell r="AU235">
            <v>9962646</v>
          </cell>
          <cell r="AV235">
            <v>9313408</v>
          </cell>
          <cell r="AW235">
            <v>9313408</v>
          </cell>
          <cell r="AX235" t="str">
            <v/>
          </cell>
          <cell r="AY235">
            <v>2.4299999999999999E-2</v>
          </cell>
        </row>
        <row r="236">
          <cell r="D236" t="str">
            <v>Tabla de Apoyo o Portapapeles (Tamaño Oficio)</v>
          </cell>
          <cell r="E236" t="str">
            <v>Tabla de Apoyo o Portapapeles (Tamaño Oficio)</v>
          </cell>
          <cell r="F236" t="str">
            <v>Unidad</v>
          </cell>
          <cell r="G236">
            <v>1</v>
          </cell>
          <cell r="H236" t="str">
            <v>Compra</v>
          </cell>
          <cell r="I236" t="str">
            <v>Luz Jimenez</v>
          </cell>
          <cell r="J236">
            <v>46091</v>
          </cell>
          <cell r="K236" t="str">
            <v>Papyser_TABLA LEGAJADORA OFICIO MADEFLEX.pdf</v>
          </cell>
          <cell r="L236" t="str">
            <v>Gestión</v>
          </cell>
          <cell r="M236" t="str">
            <v>Pappyser</v>
          </cell>
          <cell r="N236">
            <v>5200</v>
          </cell>
          <cell r="O236" t="str">
            <v>IVA incluido</v>
          </cell>
          <cell r="P236" t="str">
            <v>Si tiene IVA</v>
          </cell>
          <cell r="Q236">
            <v>4369.7478991596636</v>
          </cell>
          <cell r="R236">
            <v>830.25210084033631</v>
          </cell>
          <cell r="S236">
            <v>5200.0000000000009</v>
          </cell>
          <cell r="T236">
            <v>5200</v>
          </cell>
          <cell r="U236">
            <v>5200.0000000000009</v>
          </cell>
          <cell r="V236" t="str">
            <v>Luz Jimenez</v>
          </cell>
          <cell r="W236">
            <v>46091</v>
          </cell>
          <cell r="X236" t="str">
            <v>INVER Y DISTRIBUIDORES DIAMOND_Varios</v>
          </cell>
          <cell r="Y236" t="str">
            <v>Gestión</v>
          </cell>
          <cell r="Z236" t="str">
            <v>Inver y Disrtibuciones Diamond</v>
          </cell>
          <cell r="AA236">
            <v>4200</v>
          </cell>
          <cell r="AB236" t="str">
            <v>Precio sin Iva</v>
          </cell>
          <cell r="AC236" t="str">
            <v>Si tiene IVA</v>
          </cell>
          <cell r="AD236">
            <v>4200</v>
          </cell>
          <cell r="AE236">
            <v>798</v>
          </cell>
          <cell r="AF236">
            <v>4998</v>
          </cell>
          <cell r="AG236">
            <v>4200</v>
          </cell>
          <cell r="AH236">
            <v>4998</v>
          </cell>
          <cell r="AI236" t="str">
            <v>Luz Jimenez</v>
          </cell>
          <cell r="AJ236">
            <v>46091</v>
          </cell>
          <cell r="AK236" t="str">
            <v>Papeleria Paraiso.pdf</v>
          </cell>
          <cell r="AL236" t="str">
            <v>Gestión</v>
          </cell>
          <cell r="AM236" t="str">
            <v>Papeleria Paraiso</v>
          </cell>
          <cell r="AN236">
            <v>4800</v>
          </cell>
          <cell r="AO236" t="str">
            <v>IVA incluido</v>
          </cell>
          <cell r="AP236" t="str">
            <v>Si tiene IVA</v>
          </cell>
          <cell r="AQ236">
            <v>4033.613445378151</v>
          </cell>
          <cell r="AR236">
            <v>766.38655462184875</v>
          </cell>
          <cell r="AS236">
            <v>4800</v>
          </cell>
          <cell r="AT236">
            <v>4800</v>
          </cell>
          <cell r="AU236">
            <v>4800</v>
          </cell>
          <cell r="AV236">
            <v>4999</v>
          </cell>
          <cell r="AW236">
            <v>4999</v>
          </cell>
          <cell r="AX236">
            <v>200</v>
          </cell>
          <cell r="AY236">
            <v>4.0008001600320101E-2</v>
          </cell>
          <cell r="BA236">
            <v>3</v>
          </cell>
        </row>
        <row r="237">
          <cell r="D237" t="str">
            <v>Tablero acrílico 40 x 60 cm</v>
          </cell>
          <cell r="E237" t="str">
            <v>Tablero acrílico con base trípode caballete metálico con trípode , medidas tablero 40 x 60 cm</v>
          </cell>
          <cell r="F237" t="str">
            <v>Unidad</v>
          </cell>
          <cell r="G237">
            <v>1</v>
          </cell>
          <cell r="H237" t="str">
            <v>Compra</v>
          </cell>
          <cell r="I237" t="str">
            <v>Luz Jimenez</v>
          </cell>
          <cell r="J237">
            <v>46091</v>
          </cell>
          <cell r="K237" t="str">
            <v>INVER Y DISTRIBUIDORES DIAMOND_Varios</v>
          </cell>
          <cell r="L237" t="str">
            <v>Gestión</v>
          </cell>
          <cell r="M237" t="str">
            <v>INVER Y DISTRIBUIDORES DIAMOND</v>
          </cell>
          <cell r="N237">
            <v>106000</v>
          </cell>
          <cell r="O237" t="str">
            <v>Precio sin Iva</v>
          </cell>
          <cell r="P237" t="str">
            <v>Si tiene IVA</v>
          </cell>
          <cell r="Q237">
            <v>106000</v>
          </cell>
          <cell r="R237">
            <v>20140</v>
          </cell>
          <cell r="S237">
            <v>126140</v>
          </cell>
          <cell r="T237">
            <v>106000</v>
          </cell>
          <cell r="U237">
            <v>126140</v>
          </cell>
          <cell r="V237" t="str">
            <v>Luz Jimenez</v>
          </cell>
          <cell r="W237">
            <v>46091</v>
          </cell>
          <cell r="X237" t="str">
            <v>Falabella.com_Tablero Acrilico Cuadricula 80x120 + tripode MAOS.pdf</v>
          </cell>
          <cell r="Y237" t="str">
            <v>Gestión</v>
          </cell>
          <cell r="Z237" t="str">
            <v>Falabella</v>
          </cell>
          <cell r="AA237">
            <v>132000</v>
          </cell>
          <cell r="AB237" t="str">
            <v>IVA incluido</v>
          </cell>
          <cell r="AC237" t="str">
            <v>Si tiene IVA</v>
          </cell>
          <cell r="AD237">
            <v>110924.3697478992</v>
          </cell>
          <cell r="AE237">
            <v>21075.63025210084</v>
          </cell>
          <cell r="AF237">
            <v>132000</v>
          </cell>
          <cell r="AG237">
            <v>132000</v>
          </cell>
          <cell r="AH237">
            <v>132000</v>
          </cell>
          <cell r="AI237" t="str">
            <v>Luz Jimenez</v>
          </cell>
          <cell r="AJ237">
            <v>46091</v>
          </cell>
          <cell r="AK237" t="str">
            <v>Homecenter_Tablero Acrilico Blanco 80x120 + Tripod.pdf</v>
          </cell>
          <cell r="AL237" t="str">
            <v>Gestión</v>
          </cell>
          <cell r="AM237" t="str">
            <v>Hommecenter</v>
          </cell>
          <cell r="AN237">
            <v>159900</v>
          </cell>
          <cell r="AO237" t="str">
            <v>IVA incluido</v>
          </cell>
          <cell r="AP237" t="str">
            <v>Si tiene IVA</v>
          </cell>
          <cell r="AQ237">
            <v>134369.7478991597</v>
          </cell>
          <cell r="AR237">
            <v>25530.252100840338</v>
          </cell>
          <cell r="AS237">
            <v>159900</v>
          </cell>
          <cell r="AT237">
            <v>159900</v>
          </cell>
          <cell r="AU237">
            <v>159900</v>
          </cell>
          <cell r="AV237">
            <v>139347</v>
          </cell>
          <cell r="AW237">
            <v>139347</v>
          </cell>
          <cell r="AX237">
            <v>18039</v>
          </cell>
          <cell r="AY237">
            <v>0.12945380955456501</v>
          </cell>
          <cell r="BA237">
            <v>3</v>
          </cell>
        </row>
        <row r="238">
          <cell r="D238" t="str">
            <v>Témperas x 50 ml</v>
          </cell>
          <cell r="E238" t="str">
            <v>Pintura témpera 50 ml: Frasco individual en colores surtidos con tapa rosca y sello de seguridad. Fórmula a base de agua, diferentes colores</v>
          </cell>
          <cell r="F238" t="str">
            <v>Unidad</v>
          </cell>
          <cell r="G238">
            <v>1</v>
          </cell>
          <cell r="H238" t="str">
            <v>Compra</v>
          </cell>
          <cell r="I238" t="str">
            <v>Luz Jimenez</v>
          </cell>
          <cell r="J238">
            <v>46091</v>
          </cell>
          <cell r="K238" t="str">
            <v>Homecenter - Temperas Escolar x 1 Und.pdf.pdf</v>
          </cell>
          <cell r="L238" t="str">
            <v>Gestión</v>
          </cell>
          <cell r="M238" t="str">
            <v>Homeceter</v>
          </cell>
          <cell r="N238">
            <v>1316</v>
          </cell>
          <cell r="O238" t="str">
            <v>IVA incluido</v>
          </cell>
          <cell r="P238" t="str">
            <v>Si tiene IVA</v>
          </cell>
          <cell r="Q238">
            <v>1105.882352941177</v>
          </cell>
          <cell r="R238">
            <v>210.11764705882359</v>
          </cell>
          <cell r="S238">
            <v>1316</v>
          </cell>
          <cell r="T238">
            <v>1316</v>
          </cell>
          <cell r="U238">
            <v>1316</v>
          </cell>
          <cell r="V238" t="str">
            <v>Luz Jimenez</v>
          </cell>
          <cell r="W238">
            <v>46099</v>
          </cell>
          <cell r="X238" t="str">
            <v>Mercado Zapatoca-Tempera escolarX80g.pdf</v>
          </cell>
          <cell r="Y238" t="str">
            <v>Gestión</v>
          </cell>
          <cell r="Z238" t="str">
            <v>Mercado Zapatioca</v>
          </cell>
          <cell r="AA238">
            <v>1500</v>
          </cell>
          <cell r="AB238" t="str">
            <v>IVA incluido</v>
          </cell>
          <cell r="AC238" t="str">
            <v>Si tiene IVA</v>
          </cell>
          <cell r="AD238">
            <v>1260.5042016806719</v>
          </cell>
          <cell r="AE238">
            <v>239.49579831932769</v>
          </cell>
          <cell r="AF238">
            <v>1500</v>
          </cell>
          <cell r="AG238">
            <v>1500</v>
          </cell>
          <cell r="AH238">
            <v>1500</v>
          </cell>
          <cell r="AI238" t="str">
            <v>Luz Jimenez</v>
          </cell>
          <cell r="AJ238">
            <v>46099</v>
          </cell>
          <cell r="AK238" t="str">
            <v>Punto Uniko_Tempera 80g.pdf</v>
          </cell>
          <cell r="AL238" t="str">
            <v>Gestión</v>
          </cell>
          <cell r="AM238" t="str">
            <v>Punto Uniko</v>
          </cell>
          <cell r="AN238">
            <v>1200</v>
          </cell>
          <cell r="AO238" t="str">
            <v>IVA incluido</v>
          </cell>
          <cell r="AP238" t="str">
            <v>Si tiene IVA</v>
          </cell>
          <cell r="AQ238">
            <v>1008.403361344538</v>
          </cell>
          <cell r="AR238">
            <v>191.59663865546219</v>
          </cell>
          <cell r="AS238">
            <v>1200</v>
          </cell>
          <cell r="AT238">
            <v>1200</v>
          </cell>
          <cell r="AU238">
            <v>1200</v>
          </cell>
          <cell r="AV238">
            <v>1339</v>
          </cell>
          <cell r="AW238">
            <v>1339</v>
          </cell>
          <cell r="AX238">
            <v>151</v>
          </cell>
          <cell r="AY238">
            <v>0.11277072442121</v>
          </cell>
          <cell r="BA238">
            <v>3</v>
          </cell>
        </row>
        <row r="239">
          <cell r="D239" t="str">
            <v>Témperas x 50 ml en caja x 6</v>
          </cell>
          <cell r="E239" t="str">
            <v>Caja x 6 unidades de pintura témpera 50 ml : Estuche de frascos individuales en colores surtidos con tapa rosca. Fórmula a base de agua con pigmentos.</v>
          </cell>
          <cell r="F239" t="str">
            <v>Unidad</v>
          </cell>
          <cell r="G239">
            <v>1</v>
          </cell>
          <cell r="H239" t="str">
            <v>Compra</v>
          </cell>
          <cell r="I239" t="str">
            <v>Luz Jimenez</v>
          </cell>
          <cell r="J239">
            <v>46091</v>
          </cell>
          <cell r="K239" t="str">
            <v>Papeleria la gran 12_TEMPERA PAYASITO X 6 UND</v>
          </cell>
          <cell r="L239" t="str">
            <v>Gestión</v>
          </cell>
          <cell r="M239" t="str">
            <v>PAPELERIA LA GRAN 12</v>
          </cell>
          <cell r="N239">
            <v>3900</v>
          </cell>
          <cell r="O239" t="str">
            <v>IVA incluido</v>
          </cell>
          <cell r="P239" t="str">
            <v>Si tiene IVA</v>
          </cell>
          <cell r="Q239">
            <v>3277.3109243697481</v>
          </cell>
          <cell r="R239">
            <v>622.68907563025198</v>
          </cell>
          <cell r="S239">
            <v>3900</v>
          </cell>
          <cell r="T239">
            <v>3900</v>
          </cell>
          <cell r="U239">
            <v>3900</v>
          </cell>
          <cell r="V239" t="str">
            <v>Luz Jimenez</v>
          </cell>
          <cell r="W239">
            <v>46091</v>
          </cell>
          <cell r="X239" t="str">
            <v>Papelería el mayorista_Témperas Rapid x6</v>
          </cell>
          <cell r="Y239" t="str">
            <v>Gestión</v>
          </cell>
          <cell r="Z239" t="str">
            <v>Papeleria el Mayorista</v>
          </cell>
          <cell r="AA239">
            <v>3200</v>
          </cell>
          <cell r="AB239" t="str">
            <v>IVA incluido</v>
          </cell>
          <cell r="AC239" t="str">
            <v>Si tiene IVA</v>
          </cell>
          <cell r="AD239">
            <v>2689.0756302521008</v>
          </cell>
          <cell r="AE239">
            <v>510.92436974789922</v>
          </cell>
          <cell r="AF239">
            <v>3200</v>
          </cell>
          <cell r="AG239">
            <v>3200</v>
          </cell>
          <cell r="AH239">
            <v>3200</v>
          </cell>
          <cell r="AI239" t="str">
            <v>Luz Jimenez</v>
          </cell>
          <cell r="AJ239">
            <v>46091</v>
          </cell>
          <cell r="AK239" t="str">
            <v>Papeleria Paraiso.pdf</v>
          </cell>
          <cell r="AL239" t="str">
            <v>Gestión</v>
          </cell>
          <cell r="AM239" t="str">
            <v>Papeleria Paraiso</v>
          </cell>
          <cell r="AN239">
            <v>3900</v>
          </cell>
          <cell r="AO239" t="str">
            <v>IVA incluido</v>
          </cell>
          <cell r="AP239" t="str">
            <v>Si tiene IVA</v>
          </cell>
          <cell r="AQ239">
            <v>3277.3109243697481</v>
          </cell>
          <cell r="AR239">
            <v>622.68907563025198</v>
          </cell>
          <cell r="AS239">
            <v>3900</v>
          </cell>
          <cell r="AT239">
            <v>3900</v>
          </cell>
          <cell r="AU239">
            <v>3900</v>
          </cell>
          <cell r="AV239">
            <v>3667</v>
          </cell>
          <cell r="AW239">
            <v>3667</v>
          </cell>
          <cell r="AX239">
            <v>404</v>
          </cell>
          <cell r="AY239">
            <v>0.110171802563403</v>
          </cell>
          <cell r="BA239">
            <v>3</v>
          </cell>
        </row>
        <row r="240">
          <cell r="D240" t="str">
            <v>Tijera Doble Matu</v>
          </cell>
          <cell r="E240" t="str">
            <v>Tijera doble mango (Matu): Herramienta pedagógica. Longitud total de 17 cm a 18 cm (aprox. 7 pulgadas), con hojas metálicas de 5 cm a 6 cm de largo.</v>
          </cell>
          <cell r="F240" t="str">
            <v>Unidad</v>
          </cell>
          <cell r="G240">
            <v>1</v>
          </cell>
          <cell r="H240" t="str">
            <v>Compra</v>
          </cell>
          <cell r="I240" t="str">
            <v>Sandra Vargas</v>
          </cell>
          <cell r="J240">
            <v>46105</v>
          </cell>
          <cell r="K240" t="str">
            <v>Mundo Amable_Tijeras doble control</v>
          </cell>
          <cell r="L240" t="str">
            <v>Gestión</v>
          </cell>
          <cell r="M240" t="str">
            <v>MUNDO AMABLE</v>
          </cell>
          <cell r="N240">
            <v>6373</v>
          </cell>
          <cell r="O240" t="str">
            <v>IVA incluido</v>
          </cell>
          <cell r="P240" t="str">
            <v>Si tiene IVA</v>
          </cell>
          <cell r="Q240">
            <v>5355.4621848739498</v>
          </cell>
          <cell r="R240">
            <v>1017.537815126051</v>
          </cell>
          <cell r="S240">
            <v>6373</v>
          </cell>
          <cell r="T240">
            <v>6373</v>
          </cell>
          <cell r="U240">
            <v>6373</v>
          </cell>
          <cell r="V240" t="str">
            <v>Sandra Vargas</v>
          </cell>
          <cell r="W240">
            <v>46105</v>
          </cell>
          <cell r="X240" t="str">
            <v>Soluciones Didacticas_Set tijeras doble control</v>
          </cell>
          <cell r="Y240" t="str">
            <v>Gestión</v>
          </cell>
          <cell r="Z240" t="str">
            <v>Soluciones didacticas</v>
          </cell>
          <cell r="AA240">
            <v>6900</v>
          </cell>
          <cell r="AB240" t="str">
            <v>IVA incluido</v>
          </cell>
          <cell r="AC240" t="str">
            <v>Si tiene IVA</v>
          </cell>
          <cell r="AD240">
            <v>5798.3193277310929</v>
          </cell>
          <cell r="AE240">
            <v>1101.680672268908</v>
          </cell>
          <cell r="AF240">
            <v>6900.0000000000009</v>
          </cell>
          <cell r="AG240">
            <v>6900</v>
          </cell>
          <cell r="AH240">
            <v>6900.0000000000009</v>
          </cell>
          <cell r="AS240">
            <v>0</v>
          </cell>
          <cell r="AT240">
            <v>0</v>
          </cell>
          <cell r="AU240">
            <v>0</v>
          </cell>
          <cell r="AV240">
            <v>4424</v>
          </cell>
          <cell r="AW240">
            <v>4424</v>
          </cell>
          <cell r="AX240">
            <v>3841</v>
          </cell>
          <cell r="AY240">
            <v>0.86821880650994598</v>
          </cell>
          <cell r="AZ240" t="str">
            <v>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v>
          </cell>
          <cell r="BA240">
            <v>2</v>
          </cell>
        </row>
        <row r="241">
          <cell r="D241" t="str">
            <v>Tijera para cortar tela (tipo modista)</v>
          </cell>
          <cell r="E241" t="str">
            <v>Tijera de modistería 7.5": Herramienta de corte con hojas de acero forjado de alta resistencia y filo rectificado. Cuenta con mango ergonómico recubierto en silicona o polímero de alto impacto.</v>
          </cell>
          <cell r="F241" t="str">
            <v>Unidad</v>
          </cell>
          <cell r="G241">
            <v>1</v>
          </cell>
          <cell r="H241" t="str">
            <v>Compra</v>
          </cell>
          <cell r="I241" t="str">
            <v>Sandra Vargas</v>
          </cell>
          <cell r="J241">
            <v>46090</v>
          </cell>
          <cell r="K241" t="str">
            <v>Homecenter_Tijera para cortar tela (tipo modista).pdf</v>
          </cell>
          <cell r="L241" t="str">
            <v>Gestión</v>
          </cell>
          <cell r="M241" t="str">
            <v>HOMECENTER</v>
          </cell>
          <cell r="N241">
            <v>45900</v>
          </cell>
          <cell r="O241" t="str">
            <v>IVA incluido</v>
          </cell>
          <cell r="P241" t="str">
            <v>Si tiene IVA</v>
          </cell>
          <cell r="Q241">
            <v>38571.428571428572</v>
          </cell>
          <cell r="R241">
            <v>7329</v>
          </cell>
          <cell r="S241">
            <v>45900.428571428572</v>
          </cell>
          <cell r="T241">
            <v>45900</v>
          </cell>
          <cell r="U241">
            <v>45900.428571428572</v>
          </cell>
          <cell r="V241" t="str">
            <v>Sandra Vargas</v>
          </cell>
          <cell r="W241">
            <v>46090</v>
          </cell>
          <cell r="X241" t="str">
            <v>Novacol_Tijera metalica 8 genérica</v>
          </cell>
          <cell r="Y241" t="str">
            <v>Gestión</v>
          </cell>
          <cell r="Z241" t="str">
            <v>IMPORTADORA NOVACOL</v>
          </cell>
          <cell r="AA241">
            <v>54000</v>
          </cell>
          <cell r="AB241" t="str">
            <v>IVA incluido</v>
          </cell>
          <cell r="AC241" t="str">
            <v>Si tiene IVA</v>
          </cell>
          <cell r="AD241">
            <v>45378.151260504201</v>
          </cell>
          <cell r="AE241">
            <v>8622</v>
          </cell>
          <cell r="AF241">
            <v>54000.151260504201</v>
          </cell>
          <cell r="AG241">
            <v>54000</v>
          </cell>
          <cell r="AH241">
            <v>54000.151260504201</v>
          </cell>
          <cell r="AI241" t="str">
            <v>Sandra Vargas</v>
          </cell>
          <cell r="AJ241">
            <v>46090</v>
          </cell>
          <cell r="AK241" t="str">
            <v>Papyser_TIJERA MODISTERIA 6 METALICA</v>
          </cell>
          <cell r="AL241" t="str">
            <v>Gestión</v>
          </cell>
          <cell r="AM241" t="str">
            <v>PAPYSER</v>
          </cell>
          <cell r="AN241">
            <v>39418</v>
          </cell>
          <cell r="AO241" t="str">
            <v>IVA incluido</v>
          </cell>
          <cell r="AP241" t="str">
            <v>Si tiene IVA</v>
          </cell>
          <cell r="AQ241">
            <v>33124.36974789916</v>
          </cell>
          <cell r="AR241">
            <v>6294</v>
          </cell>
          <cell r="AS241">
            <v>39418.36974789916</v>
          </cell>
          <cell r="AT241">
            <v>39418</v>
          </cell>
          <cell r="AU241">
            <v>39418.36974789916</v>
          </cell>
          <cell r="AV241">
            <v>46440</v>
          </cell>
          <cell r="AW241">
            <v>46440</v>
          </cell>
          <cell r="AX241">
            <v>7306</v>
          </cell>
          <cell r="AY241">
            <v>0.15732127476313501</v>
          </cell>
          <cell r="BA241">
            <v>3</v>
          </cell>
        </row>
        <row r="242">
          <cell r="D242" t="str">
            <v>Tijera punta roma</v>
          </cell>
          <cell r="E242" t="str">
            <v>Tijera punta roma: Herramienta de corte con hojas de acero inoxidable y puntas redondeadas para mayor seguridad. Mango ergonómico de polímero de alta resistencia. Tamaño entre 5 y 5.5 pulgadas</v>
          </cell>
          <cell r="F242" t="str">
            <v>Unidad</v>
          </cell>
          <cell r="G242">
            <v>1</v>
          </cell>
          <cell r="H242" t="str">
            <v>Compra</v>
          </cell>
          <cell r="I242" t="str">
            <v>Luz Jimenez</v>
          </cell>
          <cell r="J242">
            <v>46091</v>
          </cell>
          <cell r="K242" t="str">
            <v>Mil Herrajes Colombia_Tijera Punta Roma Sencilla.pdf</v>
          </cell>
          <cell r="L242" t="str">
            <v>Gestión</v>
          </cell>
          <cell r="M242" t="str">
            <v>Mil Herrajes</v>
          </cell>
          <cell r="N242">
            <v>1500</v>
          </cell>
          <cell r="O242" t="str">
            <v>IVA incluido</v>
          </cell>
          <cell r="P242" t="str">
            <v>Si tiene IVA</v>
          </cell>
          <cell r="Q242">
            <v>1260.5042016806719</v>
          </cell>
          <cell r="R242">
            <v>239.49579831932769</v>
          </cell>
          <cell r="S242">
            <v>1500</v>
          </cell>
          <cell r="T242">
            <v>1500</v>
          </cell>
          <cell r="U242">
            <v>1500</v>
          </cell>
          <cell r="V242" t="str">
            <v>Luz Jimenez</v>
          </cell>
          <cell r="W242">
            <v>46091</v>
          </cell>
          <cell r="X242" t="str">
            <v>Exito.com_tijeras-punta-roma-eterna</v>
          </cell>
          <cell r="Y242" t="str">
            <v>Gestión</v>
          </cell>
          <cell r="Z242" t="str">
            <v>Exito</v>
          </cell>
          <cell r="AA242">
            <v>2000</v>
          </cell>
          <cell r="AB242" t="str">
            <v>IVA incluido</v>
          </cell>
          <cell r="AC242" t="str">
            <v>Si tiene IVA</v>
          </cell>
          <cell r="AD242">
            <v>1680.672268907563</v>
          </cell>
          <cell r="AE242">
            <v>319.32773109243698</v>
          </cell>
          <cell r="AF242">
            <v>2000</v>
          </cell>
          <cell r="AG242">
            <v>2000</v>
          </cell>
          <cell r="AH242">
            <v>2000</v>
          </cell>
          <cell r="AI242" t="str">
            <v>Luz Jimenez</v>
          </cell>
          <cell r="AJ242">
            <v>46091</v>
          </cell>
          <cell r="AK242" t="str">
            <v>Papelerialagran12_TIJERA PUNTA DE ROMA MILIMETRADA</v>
          </cell>
          <cell r="AL242" t="str">
            <v>Gestión</v>
          </cell>
          <cell r="AM242" t="str">
            <v>PAPELERIA LA GRAN 12</v>
          </cell>
          <cell r="AN242">
            <v>1400</v>
          </cell>
          <cell r="AO242" t="str">
            <v>IVA incluido</v>
          </cell>
          <cell r="AP242" t="str">
            <v>Si tiene IVA</v>
          </cell>
          <cell r="AQ242">
            <v>1176.4705882352939</v>
          </cell>
          <cell r="AR242">
            <v>223.52941176470591</v>
          </cell>
          <cell r="AS242">
            <v>1400</v>
          </cell>
          <cell r="AT242">
            <v>1400</v>
          </cell>
          <cell r="AU242">
            <v>1400</v>
          </cell>
          <cell r="AV242">
            <v>1633</v>
          </cell>
          <cell r="AW242">
            <v>1633</v>
          </cell>
          <cell r="AX242">
            <v>321</v>
          </cell>
          <cell r="AY242">
            <v>0.196570728720147</v>
          </cell>
          <cell r="BA242">
            <v>3</v>
          </cell>
        </row>
        <row r="243">
          <cell r="D243" t="str">
            <v>Tinta para sellos (azul, roja y negra) 30ml</v>
          </cell>
          <cell r="E243" t="str">
            <v>Tinta para sellos 30 ml: Frasco plástico con boquilla aplicadora, disponible en colores básicos (azul, rojo y negro). Fórmula base agua de secado rápido y alta capilaridad para un entintado uniforme de almohadillas.</v>
          </cell>
          <cell r="F243" t="str">
            <v>Unidad</v>
          </cell>
          <cell r="G243">
            <v>1</v>
          </cell>
          <cell r="H243" t="str">
            <v>Compra</v>
          </cell>
          <cell r="I243" t="str">
            <v>Sandra Vargas</v>
          </cell>
          <cell r="J243">
            <v>46090</v>
          </cell>
          <cell r="K243" t="str">
            <v>INVER Y DISTRIBUIDORES DIAMOND_Varios</v>
          </cell>
          <cell r="L243" t="str">
            <v>Transcripción</v>
          </cell>
          <cell r="M243" t="str">
            <v>INVER Y DISTRIBUIDORES DIAMOND</v>
          </cell>
          <cell r="N243">
            <v>3300</v>
          </cell>
          <cell r="O243" t="str">
            <v>IVA incluido</v>
          </cell>
          <cell r="P243" t="str">
            <v>Si tiene IVA</v>
          </cell>
          <cell r="Q243">
            <v>2773.10924369748</v>
          </cell>
          <cell r="R243">
            <v>526.89075630252103</v>
          </cell>
          <cell r="S243">
            <v>3300</v>
          </cell>
          <cell r="T243">
            <v>3300</v>
          </cell>
          <cell r="U243">
            <v>3300</v>
          </cell>
          <cell r="V243" t="str">
            <v>Sandra Vargas</v>
          </cell>
          <cell r="W243">
            <v>46090</v>
          </cell>
          <cell r="X243" t="str">
            <v>Papyser_TINTA PARA SELLO CAUCHO X 30 CC AZUL SPEKTRA</v>
          </cell>
          <cell r="Y243" t="str">
            <v>Gestión</v>
          </cell>
          <cell r="Z243" t="str">
            <v>PAPYSER</v>
          </cell>
          <cell r="AA243">
            <v>2827</v>
          </cell>
          <cell r="AB243" t="str">
            <v>IVA incluido</v>
          </cell>
          <cell r="AC243" t="str">
            <v>IVA incluido</v>
          </cell>
          <cell r="AD243">
            <v>2375.6302521008411</v>
          </cell>
          <cell r="AE243">
            <v>451.36974789915968</v>
          </cell>
          <cell r="AF243">
            <v>2827</v>
          </cell>
          <cell r="AG243">
            <v>2827</v>
          </cell>
          <cell r="AH243">
            <v>2827</v>
          </cell>
          <cell r="AI243" t="str">
            <v>Sandra Vargas</v>
          </cell>
          <cell r="AJ243">
            <v>46090</v>
          </cell>
          <cell r="AK243" t="str">
            <v>Ofix_Tinta Para Sellos Verde Spektra X30Cc</v>
          </cell>
          <cell r="AL243" t="str">
            <v>Gestión</v>
          </cell>
          <cell r="AM243" t="str">
            <v>OFIX</v>
          </cell>
          <cell r="AN243">
            <v>3161</v>
          </cell>
          <cell r="AO243" t="str">
            <v>IVA incluido</v>
          </cell>
          <cell r="AP243" t="str">
            <v>IVA incluido</v>
          </cell>
          <cell r="AQ243">
            <v>2656.3025210084029</v>
          </cell>
          <cell r="AR243">
            <v>504.69747899159671</v>
          </cell>
          <cell r="AS243">
            <v>3161</v>
          </cell>
          <cell r="AT243">
            <v>3161</v>
          </cell>
          <cell r="AU243">
            <v>3161</v>
          </cell>
          <cell r="AV243">
            <v>3096</v>
          </cell>
          <cell r="AW243">
            <v>3096</v>
          </cell>
          <cell r="AX243">
            <v>243</v>
          </cell>
          <cell r="AY243">
            <v>7.8488372093023201E-2</v>
          </cell>
          <cell r="BA243">
            <v>3</v>
          </cell>
        </row>
        <row r="244">
          <cell r="D244" t="str">
            <v>Tizas para marcar tela</v>
          </cell>
          <cell r="E244" t="str">
            <v>Marcador sólido de forma triangular o rectangular con bordes afilados para trazos finos. Textura compacta de alta transferencia, fácil de remover sin dejar residuos ni manchar las fibras textiles.</v>
          </cell>
          <cell r="F244" t="str">
            <v>Unidad</v>
          </cell>
          <cell r="G244">
            <v>1</v>
          </cell>
          <cell r="H244" t="str">
            <v>Compra</v>
          </cell>
          <cell r="I244" t="str">
            <v>Luz Jimenez</v>
          </cell>
          <cell r="J244">
            <v>46091</v>
          </cell>
          <cell r="K244" t="str">
            <v>Zapatero del Valle_TIZA DE MODISTERIA DE COLORES .pdf</v>
          </cell>
          <cell r="L244" t="str">
            <v>Gestión</v>
          </cell>
          <cell r="M244" t="str">
            <v>Zapatero del Valle</v>
          </cell>
          <cell r="N244">
            <v>1000</v>
          </cell>
          <cell r="O244" t="str">
            <v>IVA incluido</v>
          </cell>
          <cell r="P244" t="str">
            <v>Si tiene IVA</v>
          </cell>
          <cell r="Q244">
            <v>840.3361344537816</v>
          </cell>
          <cell r="R244">
            <v>159.66386554621849</v>
          </cell>
          <cell r="S244">
            <v>1000</v>
          </cell>
          <cell r="T244">
            <v>1000</v>
          </cell>
          <cell r="U244">
            <v>1000</v>
          </cell>
          <cell r="V244" t="str">
            <v>Luz Jimenez</v>
          </cell>
          <cell r="W244">
            <v>46091</v>
          </cell>
          <cell r="X244" t="str">
            <v>Mil Herrajes Colombia_Tiza Marca Tela</v>
          </cell>
          <cell r="Y244" t="str">
            <v>Gestión</v>
          </cell>
          <cell r="Z244" t="str">
            <v>MIL HERRAJES COLOMBIA</v>
          </cell>
          <cell r="AA244">
            <v>1200</v>
          </cell>
          <cell r="AB244" t="str">
            <v>IVA incluido</v>
          </cell>
          <cell r="AC244" t="str">
            <v>Si tiene IVA</v>
          </cell>
          <cell r="AD244">
            <v>1008.403361344538</v>
          </cell>
          <cell r="AE244">
            <v>191.59663865546219</v>
          </cell>
          <cell r="AF244">
            <v>1200</v>
          </cell>
          <cell r="AG244">
            <v>1200</v>
          </cell>
          <cell r="AH244">
            <v>1200</v>
          </cell>
          <cell r="AI244" t="str">
            <v>Luz Jimenez</v>
          </cell>
          <cell r="AJ244">
            <v>46091</v>
          </cell>
          <cell r="AK244" t="str">
            <v>HilArte Insumos_Tiza triangular para modisteria.pdf</v>
          </cell>
          <cell r="AL244" t="str">
            <v>Gestión</v>
          </cell>
          <cell r="AM244" t="str">
            <v>Hilarte Insumo</v>
          </cell>
          <cell r="AN244">
            <v>1200</v>
          </cell>
          <cell r="AO244" t="str">
            <v>IVA incluido</v>
          </cell>
          <cell r="AP244" t="str">
            <v>Si tiene IVA</v>
          </cell>
          <cell r="AQ244">
            <v>1008.403361344538</v>
          </cell>
          <cell r="AR244">
            <v>191.59663865546219</v>
          </cell>
          <cell r="AS244">
            <v>1200</v>
          </cell>
          <cell r="AT244">
            <v>1200</v>
          </cell>
          <cell r="AU244">
            <v>1200</v>
          </cell>
          <cell r="AV244">
            <v>1133</v>
          </cell>
          <cell r="AW244">
            <v>1133</v>
          </cell>
          <cell r="AX244">
            <v>115</v>
          </cell>
          <cell r="AY244">
            <v>0.10150044130626699</v>
          </cell>
          <cell r="BA244">
            <v>3</v>
          </cell>
        </row>
        <row r="245">
          <cell r="D245" t="str">
            <v>Tula Deportiva</v>
          </cell>
          <cell r="E245" t="str">
            <v xml:space="preserve">Color: unisex, Poliester 210d, con cordón para ajustar y cargar, con bolsillo delantero y cremallera, con refuerzo en las esquinas_x000D_
Características:_x000D_
Alto: 45 cm _x000D_
Ancho: 35 cm_x000D_
Profundidad: 20 garantía: 12 Meses </v>
          </cell>
          <cell r="F245" t="str">
            <v>Unidad</v>
          </cell>
          <cell r="G245">
            <v>1</v>
          </cell>
          <cell r="H245" t="str">
            <v>Compra</v>
          </cell>
          <cell r="I245" t="str">
            <v>Carol López</v>
          </cell>
          <cell r="J245">
            <v>46070</v>
          </cell>
          <cell r="K245" t="str">
            <v>Dicoes _ varios 12-02-2026</v>
          </cell>
          <cell r="L245" t="str">
            <v>Gestión</v>
          </cell>
          <cell r="M245" t="str">
            <v>DICOES GRUPÓ PUBLICITARIO SAS</v>
          </cell>
          <cell r="N245">
            <v>17500</v>
          </cell>
          <cell r="O245" t="str">
            <v>Precio sin Iva</v>
          </cell>
          <cell r="P245" t="str">
            <v>Si tiene IVA</v>
          </cell>
          <cell r="Q245">
            <v>17500</v>
          </cell>
          <cell r="R245">
            <v>3325</v>
          </cell>
          <cell r="S245">
            <v>20825</v>
          </cell>
          <cell r="T245">
            <v>17500</v>
          </cell>
          <cell r="U245">
            <v>20825</v>
          </cell>
          <cell r="V245" t="str">
            <v>Carol López</v>
          </cell>
          <cell r="W245">
            <v>46070</v>
          </cell>
          <cell r="X245" t="str">
            <v>Nexus_varios 16-02-2026</v>
          </cell>
          <cell r="Y245" t="str">
            <v>Gestión</v>
          </cell>
          <cell r="Z245" t="str">
            <v>NEXUS ESTUDIO GRÁFICOS</v>
          </cell>
          <cell r="AA245">
            <v>20000</v>
          </cell>
          <cell r="AB245" t="str">
            <v>Precio sin Iva</v>
          </cell>
          <cell r="AC245" t="str">
            <v>Si tiene IVA</v>
          </cell>
          <cell r="AD245">
            <v>20000</v>
          </cell>
          <cell r="AE245">
            <v>3800</v>
          </cell>
          <cell r="AF245">
            <v>23800</v>
          </cell>
          <cell r="AG245">
            <v>20000</v>
          </cell>
          <cell r="AH245">
            <v>23800</v>
          </cell>
          <cell r="AI245" t="str">
            <v>Carol López</v>
          </cell>
          <cell r="AJ245">
            <v>46071</v>
          </cell>
          <cell r="AK245" t="str">
            <v>ANGIE PACHÓN _VARIOS 19-02-2026.pdf</v>
          </cell>
          <cell r="AL245" t="str">
            <v>Gestión</v>
          </cell>
          <cell r="AM245" t="str">
            <v>Angie Pachon (personalizado INK)</v>
          </cell>
          <cell r="AN245">
            <v>18000</v>
          </cell>
          <cell r="AO245" t="str">
            <v>Precio sin Iva</v>
          </cell>
          <cell r="AP245" t="str">
            <v>No tiene IVA</v>
          </cell>
          <cell r="AQ245">
            <v>18000</v>
          </cell>
          <cell r="AR245">
            <v>0</v>
          </cell>
          <cell r="AS245">
            <v>18000</v>
          </cell>
          <cell r="AT245">
            <v>18000</v>
          </cell>
          <cell r="AU245">
            <v>18000</v>
          </cell>
          <cell r="AV245">
            <v>20875</v>
          </cell>
          <cell r="AW245">
            <v>20875</v>
          </cell>
          <cell r="AX245">
            <v>2900</v>
          </cell>
          <cell r="AY245">
            <v>0.13892215568862301</v>
          </cell>
          <cell r="BA245">
            <v>3</v>
          </cell>
          <cell r="BB245" t="str">
            <v>Tercer ítem sin IVA</v>
          </cell>
        </row>
        <row r="246">
          <cell r="D246" t="str">
            <v>Volantes media carta 100 Unidades</v>
          </cell>
          <cell r="E246" t="str">
            <v>Tamaño: media carta, tintas: 4 x 4, full color policromía en propalcote 115 gr, refilados y/o materiales similares, con diseño aprobado por la oficina de prensa del FDLS</v>
          </cell>
          <cell r="F246" t="str">
            <v>100 unidades</v>
          </cell>
          <cell r="G246">
            <v>100</v>
          </cell>
          <cell r="H246" t="str">
            <v>Compra</v>
          </cell>
          <cell r="I246" t="str">
            <v>Sandra Vargas</v>
          </cell>
          <cell r="J246">
            <v>46147</v>
          </cell>
          <cell r="K246" t="str">
            <v>Volantes publicitarios full color una cara 100 unidades</v>
          </cell>
          <cell r="L246" t="str">
            <v>Transcripción</v>
          </cell>
          <cell r="M246" t="str">
            <v>FULL COLOR</v>
          </cell>
          <cell r="N246">
            <v>110000</v>
          </cell>
          <cell r="O246" t="str">
            <v>IVA incluido</v>
          </cell>
          <cell r="P246" t="str">
            <v>Si tiene IVA</v>
          </cell>
          <cell r="Q246">
            <v>92436.97478991597</v>
          </cell>
          <cell r="R246">
            <v>17563.02521008403</v>
          </cell>
          <cell r="S246">
            <v>110000</v>
          </cell>
          <cell r="T246">
            <v>11000000</v>
          </cell>
          <cell r="U246">
            <v>11000000</v>
          </cell>
          <cell r="V246" t="str">
            <v>Sandra vargas</v>
          </cell>
          <cell r="W246">
            <v>46070</v>
          </cell>
          <cell r="X246" t="str">
            <v>Inventiva_varios 17-02-2026.pdf</v>
          </cell>
          <cell r="Y246" t="str">
            <v>Transcripción</v>
          </cell>
          <cell r="Z246" t="str">
            <v>INVENTIVA</v>
          </cell>
          <cell r="AA246">
            <v>120000</v>
          </cell>
          <cell r="AB246" t="str">
            <v>Precio sin Iva</v>
          </cell>
          <cell r="AC246" t="str">
            <v>Si tiene IVA</v>
          </cell>
          <cell r="AD246">
            <v>120000</v>
          </cell>
          <cell r="AE246">
            <v>22800</v>
          </cell>
          <cell r="AF246">
            <v>142800</v>
          </cell>
          <cell r="AG246">
            <v>12000000</v>
          </cell>
          <cell r="AH246">
            <v>14280000</v>
          </cell>
          <cell r="AI246" t="str">
            <v>Carol López</v>
          </cell>
          <cell r="AJ246">
            <v>46072</v>
          </cell>
          <cell r="AK246" t="str">
            <v>Maria Conflicto -Vario 19-02-2026.pdf</v>
          </cell>
          <cell r="AL246" t="str">
            <v>Transcripción</v>
          </cell>
          <cell r="AM246" t="str">
            <v>MARIA CONFLICTO</v>
          </cell>
          <cell r="AN246">
            <v>120000</v>
          </cell>
          <cell r="AO246" t="str">
            <v>Precio sin Iva</v>
          </cell>
          <cell r="AP246" t="str">
            <v>No tiene IVA</v>
          </cell>
          <cell r="AQ246">
            <v>120000</v>
          </cell>
          <cell r="AR246">
            <v>0</v>
          </cell>
          <cell r="AS246">
            <v>120000</v>
          </cell>
          <cell r="AT246">
            <v>12000000</v>
          </cell>
          <cell r="AU246">
            <v>12000000</v>
          </cell>
          <cell r="AV246">
            <v>124267</v>
          </cell>
          <cell r="AW246">
            <v>12426700</v>
          </cell>
          <cell r="AX246">
            <v>1681111</v>
          </cell>
          <cell r="AY246">
            <v>0.13528217467227799</v>
          </cell>
          <cell r="AZ246" t="str">
            <v>Se corrigen los link y se cambia una cotizacion se anexan las 3 cotizaciones</v>
          </cell>
          <cell r="BA246">
            <v>3</v>
          </cell>
          <cell r="BB246" t="str">
            <v>Tercer ítem sin IVA</v>
          </cell>
        </row>
        <row r="247">
          <cell r="D247" t="str">
            <v>Volantes media carta 1000 unidades</v>
          </cell>
          <cell r="E247" t="str">
            <v>Tamaño: media carta, tintas: 4 x 4, full color policromía en propalcote 115 gr, refilados y/o materiales similares, con diseño aprobado por la oficina de prensa del FDLS</v>
          </cell>
          <cell r="F247" t="str">
            <v>Unidad</v>
          </cell>
          <cell r="G247">
            <v>1</v>
          </cell>
          <cell r="H247" t="str">
            <v>Compra</v>
          </cell>
          <cell r="I247" t="str">
            <v xml:space="preserve">Sandra vargas </v>
          </cell>
          <cell r="J247">
            <v>46147</v>
          </cell>
          <cell r="K247" t="str">
            <v>SGD_ VARIOS 19-02-2026 SAS</v>
          </cell>
          <cell r="L247" t="str">
            <v>Transcripción</v>
          </cell>
          <cell r="M247" t="str">
            <v>SG DIGITAL S.A.S</v>
          </cell>
          <cell r="N247">
            <v>290000</v>
          </cell>
          <cell r="O247" t="str">
            <v>IVA incluido</v>
          </cell>
          <cell r="P247" t="str">
            <v>Si tiene IVA</v>
          </cell>
          <cell r="Q247">
            <v>243697.47899159661</v>
          </cell>
          <cell r="R247">
            <v>46302.521008403361</v>
          </cell>
          <cell r="S247">
            <v>290000</v>
          </cell>
          <cell r="T247">
            <v>290000</v>
          </cell>
          <cell r="U247">
            <v>290000</v>
          </cell>
          <cell r="V247" t="str">
            <v>Sandra vargas</v>
          </cell>
          <cell r="W247">
            <v>46147</v>
          </cell>
          <cell r="X247" t="str">
            <v>ANGIE PACHÓN _VARIOS 19-02-2026.pdf</v>
          </cell>
          <cell r="Y247" t="str">
            <v>Transcripción</v>
          </cell>
          <cell r="Z247" t="str">
            <v>Angie Pachon (personalizado INK)</v>
          </cell>
          <cell r="AA247">
            <v>200000</v>
          </cell>
          <cell r="AB247" t="str">
            <v>Precio sin Iva</v>
          </cell>
          <cell r="AC247" t="str">
            <v>No tiene IVA</v>
          </cell>
          <cell r="AD247">
            <v>200000</v>
          </cell>
          <cell r="AE247">
            <v>0</v>
          </cell>
          <cell r="AF247">
            <v>200000</v>
          </cell>
          <cell r="AG247">
            <v>200000</v>
          </cell>
          <cell r="AH247">
            <v>200000</v>
          </cell>
          <cell r="AI247" t="str">
            <v>Sandra vargas</v>
          </cell>
          <cell r="AJ247">
            <v>46147</v>
          </cell>
          <cell r="AK247" t="str">
            <v>JOES 05-05-2026 VARIOS.pdf</v>
          </cell>
          <cell r="AL247" t="str">
            <v>Transcripción</v>
          </cell>
          <cell r="AM247" t="str">
            <v>JOES PUBLICIDAD</v>
          </cell>
          <cell r="AN247">
            <v>240000</v>
          </cell>
          <cell r="AO247" t="str">
            <v>Precio sin Iva</v>
          </cell>
          <cell r="AP247" t="str">
            <v>No tiene IVA</v>
          </cell>
          <cell r="AQ247">
            <v>240000</v>
          </cell>
          <cell r="AR247">
            <v>0</v>
          </cell>
          <cell r="AS247">
            <v>240000</v>
          </cell>
          <cell r="AT247">
            <v>240000</v>
          </cell>
          <cell r="AU247">
            <v>240000</v>
          </cell>
          <cell r="AV247">
            <v>243333</v>
          </cell>
          <cell r="AW247">
            <v>243333</v>
          </cell>
          <cell r="AX247">
            <v>45092</v>
          </cell>
          <cell r="AY247">
            <v>0.185309842890196</v>
          </cell>
          <cell r="BA247">
            <v>3</v>
          </cell>
          <cell r="BB247" t="str">
            <v>Segundo ítem sin Iva// Tercer ítem sin IVA</v>
          </cell>
        </row>
        <row r="248">
          <cell r="D248" t="str">
            <v>Llavero con QR</v>
          </cell>
          <cell r="E248" t="str">
            <v>Llaveros en acrílico con grabado o impresión de calidad de QR escaneable con acceso al material de estudio digital de la capacitación (memorias y certificado de participación). Dimensiones de 5cm x 5cm y 3 mm de grosor.</v>
          </cell>
          <cell r="F248" t="str">
            <v>Unidad</v>
          </cell>
          <cell r="G248">
            <v>750</v>
          </cell>
          <cell r="H248" t="str">
            <v>Compra</v>
          </cell>
          <cell r="I248" t="str">
            <v>Luz Jimenez</v>
          </cell>
          <cell r="J248">
            <v>46167</v>
          </cell>
          <cell r="K248" t="str">
            <v>Llavero - Impakto Arte Diseño</v>
          </cell>
          <cell r="L248" t="str">
            <v>Transcripción</v>
          </cell>
          <cell r="M248" t="str">
            <v>Llavero - Impakto Arte Diseño</v>
          </cell>
          <cell r="N248">
            <v>5300</v>
          </cell>
          <cell r="O248" t="str">
            <v>Precio sin Iva</v>
          </cell>
          <cell r="P248" t="str">
            <v>Si tiene IVA</v>
          </cell>
          <cell r="Q248">
            <v>5300</v>
          </cell>
          <cell r="R248">
            <v>1007</v>
          </cell>
          <cell r="S248">
            <v>6307</v>
          </cell>
          <cell r="T248">
            <v>3975000</v>
          </cell>
          <cell r="U248">
            <v>4730250</v>
          </cell>
          <cell r="V248" t="str">
            <v>Luz Jimenez</v>
          </cell>
          <cell r="W248">
            <v>46167</v>
          </cell>
          <cell r="X248" t="str">
            <v>Llaveros - ABPublicidad</v>
          </cell>
          <cell r="Y248" t="str">
            <v>Transcripción</v>
          </cell>
          <cell r="Z248" t="str">
            <v>Llaveros - ABPublicidad</v>
          </cell>
          <cell r="AA248">
            <v>5800</v>
          </cell>
          <cell r="AB248" t="str">
            <v>Precio sin Iva</v>
          </cell>
          <cell r="AC248" t="str">
            <v>Si tiene IVA</v>
          </cell>
          <cell r="AD248">
            <v>5800</v>
          </cell>
          <cell r="AE248">
            <v>1102</v>
          </cell>
          <cell r="AF248">
            <v>6902</v>
          </cell>
          <cell r="AG248">
            <v>4350000</v>
          </cell>
          <cell r="AH248">
            <v>5176500</v>
          </cell>
          <cell r="AI248" t="str">
            <v>Luz Jimenez</v>
          </cell>
          <cell r="AJ248">
            <v>46167</v>
          </cell>
          <cell r="AK248" t="str">
            <v>Llaveros y placa - SENI</v>
          </cell>
          <cell r="AL248" t="str">
            <v>Transcripción</v>
          </cell>
          <cell r="AM248" t="str">
            <v>Llaveros y placa - SENI</v>
          </cell>
          <cell r="AN248">
            <v>6000</v>
          </cell>
          <cell r="AO248" t="str">
            <v>Precio sin Iva</v>
          </cell>
          <cell r="AP248" t="str">
            <v>Si tiene IVA</v>
          </cell>
          <cell r="AQ248">
            <v>6000</v>
          </cell>
          <cell r="AR248">
            <v>1140</v>
          </cell>
          <cell r="AS248">
            <v>7140</v>
          </cell>
          <cell r="AT248">
            <v>4500000</v>
          </cell>
          <cell r="AU248">
            <v>5355000</v>
          </cell>
          <cell r="AV248">
            <v>6783</v>
          </cell>
          <cell r="AW248">
            <v>5087250</v>
          </cell>
          <cell r="AX248">
            <v>321795</v>
          </cell>
          <cell r="AY248">
            <v>8.7599999999999997E-2</v>
          </cell>
        </row>
        <row r="249">
          <cell r="D249" t="str">
            <v>Placa tipo trofeo</v>
          </cell>
          <cell r="E249" t="str">
            <v>Placa tipo trofeo en acrílico o vidrio con troquel y grabado según diseño personalizado enviado previamente por la entidad, de máximo 25 cm de alto con base y 15 cm de ancho y 0.5 cm de profundidad.</v>
          </cell>
          <cell r="F249" t="str">
            <v>Unidad</v>
          </cell>
          <cell r="G249">
            <v>6</v>
          </cell>
          <cell r="H249" t="str">
            <v>Compra</v>
          </cell>
          <cell r="I249" t="str">
            <v>Luz Jimenez</v>
          </cell>
          <cell r="J249">
            <v>46167</v>
          </cell>
          <cell r="K249" t="str">
            <v>Placa - Bacanse.pdf</v>
          </cell>
          <cell r="L249" t="str">
            <v>Transcripción</v>
          </cell>
          <cell r="M249" t="str">
            <v>Placa - Bacanse</v>
          </cell>
          <cell r="N249">
            <v>55000</v>
          </cell>
          <cell r="O249" t="str">
            <v>Precio sin Iva</v>
          </cell>
          <cell r="P249" t="str">
            <v>No tiene IVA</v>
          </cell>
          <cell r="Q249">
            <v>55000</v>
          </cell>
          <cell r="R249" t="str">
            <v xml:space="preserve"> $ -   </v>
          </cell>
          <cell r="S249">
            <v>55000</v>
          </cell>
          <cell r="T249">
            <v>330000</v>
          </cell>
          <cell r="U249">
            <v>330000</v>
          </cell>
          <cell r="V249" t="str">
            <v>Luz Jimenez</v>
          </cell>
          <cell r="W249">
            <v>46167</v>
          </cell>
          <cell r="X249" t="str">
            <v>Llaveros y placa - SENI</v>
          </cell>
          <cell r="Y249" t="str">
            <v>Transcripción</v>
          </cell>
          <cell r="Z249" t="str">
            <v>Llaveros y placa - SENI</v>
          </cell>
          <cell r="AA249">
            <v>80000</v>
          </cell>
          <cell r="AB249" t="str">
            <v>Precio sin Iva</v>
          </cell>
          <cell r="AC249" t="str">
            <v>Si tiene IVA</v>
          </cell>
          <cell r="AD249">
            <v>80000</v>
          </cell>
          <cell r="AE249">
            <v>15200</v>
          </cell>
          <cell r="AF249">
            <v>95200</v>
          </cell>
          <cell r="AG249">
            <v>480000</v>
          </cell>
          <cell r="AH249">
            <v>571200</v>
          </cell>
          <cell r="AI249" t="str">
            <v>Luz Jimenez</v>
          </cell>
          <cell r="AJ249">
            <v>46167</v>
          </cell>
          <cell r="AK249" t="str">
            <v>Placa - Trofeos Campeón</v>
          </cell>
          <cell r="AL249" t="str">
            <v>Transcripción</v>
          </cell>
          <cell r="AM249" t="str">
            <v>Placa - Trofeos Campeón</v>
          </cell>
          <cell r="AN249">
            <v>70000</v>
          </cell>
          <cell r="AO249" t="str">
            <v>IVA incluido</v>
          </cell>
          <cell r="AP249" t="str">
            <v>Si tiene IVA</v>
          </cell>
          <cell r="AQ249">
            <v>58823.53</v>
          </cell>
          <cell r="AR249">
            <v>11176</v>
          </cell>
          <cell r="AS249">
            <v>70000</v>
          </cell>
          <cell r="AT249">
            <v>352941</v>
          </cell>
          <cell r="AU249">
            <v>420000</v>
          </cell>
          <cell r="AV249">
            <v>73400</v>
          </cell>
          <cell r="AW249">
            <v>440400</v>
          </cell>
          <cell r="AX249">
            <v>121887</v>
          </cell>
          <cell r="AY249">
            <v>0.16969999999999999</v>
          </cell>
        </row>
        <row r="250">
          <cell r="D250" t="str">
            <v xml:space="preserve">Aceite Esencial </v>
          </cell>
          <cell r="E250" t="str">
            <v>Aceite organico en spray de 10ml preferiblemente de aroma lavanda, bergamota o sándalo. 10ml de esencia pura y concentrada Deberá contar con Registro Invima y Permiso para comercialización</v>
          </cell>
          <cell r="F250" t="str">
            <v>Unidad</v>
          </cell>
          <cell r="G250">
            <v>180</v>
          </cell>
          <cell r="H250" t="str">
            <v>Compra</v>
          </cell>
          <cell r="I250" t="str">
            <v>Luz Jimenez</v>
          </cell>
          <cell r="J250">
            <v>46142</v>
          </cell>
          <cell r="K250" t="str">
            <v>Farmatodo_Aceites Esenciales.pdf</v>
          </cell>
          <cell r="L250" t="str">
            <v>Transcripción</v>
          </cell>
          <cell r="M250" t="str">
            <v>FARMATODO</v>
          </cell>
          <cell r="N250">
            <v>38350</v>
          </cell>
          <cell r="O250" t="str">
            <v>IVA incluido</v>
          </cell>
          <cell r="P250" t="str">
            <v>Si tiene IVA</v>
          </cell>
          <cell r="Q250">
            <v>32226.89</v>
          </cell>
          <cell r="R250">
            <v>6123</v>
          </cell>
          <cell r="S250">
            <v>38350</v>
          </cell>
          <cell r="T250">
            <v>5800840</v>
          </cell>
          <cell r="U250">
            <v>6903000</v>
          </cell>
          <cell r="V250" t="str">
            <v>Luz Jimenez</v>
          </cell>
          <cell r="W250">
            <v>46142</v>
          </cell>
          <cell r="X250" t="str">
            <v>Pateur_Aceites Esenciales.pdf</v>
          </cell>
          <cell r="Y250" t="str">
            <v>Transcripción</v>
          </cell>
          <cell r="Z250" t="str">
            <v>Pateur</v>
          </cell>
          <cell r="AA250">
            <v>36669</v>
          </cell>
          <cell r="AB250" t="str">
            <v>IVA incluido</v>
          </cell>
          <cell r="AC250" t="str">
            <v>Si tiene IVA</v>
          </cell>
          <cell r="AD250">
            <v>30814.29</v>
          </cell>
          <cell r="AE250">
            <v>5855</v>
          </cell>
          <cell r="AF250">
            <v>36669</v>
          </cell>
          <cell r="AG250">
            <v>5546571</v>
          </cell>
          <cell r="AH250">
            <v>6600420</v>
          </cell>
          <cell r="AI250" t="str">
            <v>Luz Jimenez</v>
          </cell>
          <cell r="AJ250">
            <v>46142</v>
          </cell>
          <cell r="AK250" t="str">
            <v>Teraviva_Aceites Esenciales.pdf</v>
          </cell>
          <cell r="AL250" t="str">
            <v>Transcripción</v>
          </cell>
          <cell r="AM250" t="str">
            <v>TERAVIVA</v>
          </cell>
          <cell r="AN250">
            <v>32000</v>
          </cell>
          <cell r="AO250" t="str">
            <v>IVA incluido</v>
          </cell>
          <cell r="AP250" t="str">
            <v>Si tiene IVA</v>
          </cell>
          <cell r="AQ250">
            <v>26890.76</v>
          </cell>
          <cell r="AR250">
            <v>5109</v>
          </cell>
          <cell r="AS250">
            <v>32000</v>
          </cell>
          <cell r="AT250">
            <v>4840336</v>
          </cell>
          <cell r="AU250">
            <v>5760000</v>
          </cell>
          <cell r="AV250">
            <v>35673</v>
          </cell>
          <cell r="AW250">
            <v>6421140</v>
          </cell>
          <cell r="AX250">
            <v>592215</v>
          </cell>
          <cell r="AY250">
            <v>9.2200000000000004E-2</v>
          </cell>
        </row>
        <row r="251">
          <cell r="D251" t="str">
            <v>Bolsa Térmica</v>
          </cell>
          <cell r="E251" t="str">
            <v xml:space="preserve">Bolsa térmica para agua caliente. Medidas: 28 cm x 26 cm. Capacidad: 1 litro. Cualquier color. </v>
          </cell>
          <cell r="F251" t="str">
            <v>Unidad</v>
          </cell>
          <cell r="G251">
            <v>180</v>
          </cell>
          <cell r="H251" t="str">
            <v>Compra</v>
          </cell>
          <cell r="I251" t="str">
            <v>Luz Jimenez</v>
          </cell>
          <cell r="J251">
            <v>46136</v>
          </cell>
          <cell r="K251" t="str">
            <v>Guerra Editores_Varios.pdf</v>
          </cell>
          <cell r="L251" t="str">
            <v>Transcripción</v>
          </cell>
          <cell r="M251" t="str">
            <v>GRUPO EDITORES</v>
          </cell>
          <cell r="N251">
            <v>16500</v>
          </cell>
          <cell r="O251" t="str">
            <v>Precio sin Iva</v>
          </cell>
          <cell r="P251" t="str">
            <v>Si tiene IVA</v>
          </cell>
          <cell r="Q251">
            <v>16500</v>
          </cell>
          <cell r="R251">
            <v>3135</v>
          </cell>
          <cell r="S251">
            <v>19635</v>
          </cell>
          <cell r="T251">
            <v>2970000</v>
          </cell>
          <cell r="U251">
            <v>3534300</v>
          </cell>
          <cell r="V251" t="str">
            <v>Luz Jimenez</v>
          </cell>
          <cell r="W251">
            <v>46150</v>
          </cell>
          <cell r="X251" t="str">
            <v>Biosmedic S.A.S_Bolsa de Agua Caliente -.pdf</v>
          </cell>
          <cell r="Y251" t="str">
            <v>Gestión</v>
          </cell>
          <cell r="Z251" t="str">
            <v>BIOSMECIC</v>
          </cell>
          <cell r="AA251">
            <v>19900</v>
          </cell>
          <cell r="AB251" t="str">
            <v>Precio sin Iva</v>
          </cell>
          <cell r="AC251" t="str">
            <v>Si tiene IVA</v>
          </cell>
          <cell r="AD251">
            <v>19900</v>
          </cell>
          <cell r="AE251">
            <v>3781</v>
          </cell>
          <cell r="AF251">
            <v>23681</v>
          </cell>
          <cell r="AG251">
            <v>3582000</v>
          </cell>
          <cell r="AH251">
            <v>4262580</v>
          </cell>
          <cell r="AI251" t="str">
            <v>Luz Jimenez</v>
          </cell>
          <cell r="AJ251">
            <v>46139</v>
          </cell>
          <cell r="AK251" t="str">
            <v>COMTEC SOLUTIONS S.A.S..pdf</v>
          </cell>
          <cell r="AL251" t="str">
            <v>Transcripción</v>
          </cell>
          <cell r="AM251" t="str">
            <v>COMTEC SOLUTIONS S.A.S.</v>
          </cell>
          <cell r="AN251">
            <v>16500</v>
          </cell>
          <cell r="AO251" t="str">
            <v>Precio sin Iva</v>
          </cell>
          <cell r="AP251" t="str">
            <v>Si tiene IVA</v>
          </cell>
          <cell r="AQ251">
            <v>16500</v>
          </cell>
          <cell r="AR251">
            <v>3135</v>
          </cell>
          <cell r="AS251">
            <v>19635</v>
          </cell>
          <cell r="AT251">
            <v>2970000</v>
          </cell>
          <cell r="AU251">
            <v>3534300</v>
          </cell>
          <cell r="AV251">
            <v>20984</v>
          </cell>
          <cell r="AW251">
            <v>3777120</v>
          </cell>
          <cell r="AX251">
            <v>420473</v>
          </cell>
          <cell r="AY251">
            <v>0.1113</v>
          </cell>
        </row>
        <row r="252">
          <cell r="D252" t="str">
            <v>DJ</v>
          </cell>
          <cell r="E252" t="str">
            <v>Un DJ para todo el evento, quien realizará presentaciones a lo largo del evento la sensibilización entorno a la prevención del consumo de sustancias psicoactivas y a la salud sexual y reproductiva consiente</v>
          </cell>
          <cell r="F252" t="str">
            <v>Servicio</v>
          </cell>
          <cell r="G252">
            <v>1</v>
          </cell>
          <cell r="H252" t="str">
            <v>PrestaciónServicio</v>
          </cell>
          <cell r="I252" t="str">
            <v>Luz Jimenez</v>
          </cell>
          <cell r="J252">
            <v>46142</v>
          </cell>
          <cell r="K252" t="str">
            <v>Juan Sebastian Villa .pdf</v>
          </cell>
          <cell r="L252" t="str">
            <v>Transcripción</v>
          </cell>
          <cell r="M252" t="str">
            <v>Juan Sebastian Bravo Villa</v>
          </cell>
          <cell r="N252">
            <v>1067200</v>
          </cell>
          <cell r="O252" t="str">
            <v>Precio sin Iva</v>
          </cell>
          <cell r="P252" t="str">
            <v>No tiene IVA</v>
          </cell>
          <cell r="Q252">
            <v>1067200</v>
          </cell>
          <cell r="R252" t="str">
            <v xml:space="preserve"> $ -   </v>
          </cell>
          <cell r="S252">
            <v>1067200</v>
          </cell>
          <cell r="T252">
            <v>1067200</v>
          </cell>
          <cell r="U252">
            <v>1067200</v>
          </cell>
          <cell r="V252" t="str">
            <v>Luz Jimenez</v>
          </cell>
          <cell r="W252">
            <v>46142</v>
          </cell>
          <cell r="X252" t="str">
            <v>Sergio Ramirez.pdf</v>
          </cell>
          <cell r="Y252" t="str">
            <v>Transcripción</v>
          </cell>
          <cell r="Z252" t="str">
            <v>Sergio Jair Ospina Ramirez</v>
          </cell>
          <cell r="AA252">
            <v>1047200</v>
          </cell>
          <cell r="AB252" t="str">
            <v>Precio sin Iva</v>
          </cell>
          <cell r="AC252" t="str">
            <v>No tiene IVA</v>
          </cell>
          <cell r="AD252">
            <v>1047200</v>
          </cell>
          <cell r="AE252" t="str">
            <v xml:space="preserve"> $ -   </v>
          </cell>
          <cell r="AF252">
            <v>1047200</v>
          </cell>
          <cell r="AG252">
            <v>1047200</v>
          </cell>
          <cell r="AH252">
            <v>1047200</v>
          </cell>
          <cell r="AI252" t="str">
            <v>Luz Jimenez</v>
          </cell>
          <cell r="AJ252">
            <v>46142</v>
          </cell>
          <cell r="AK252" t="str">
            <v>Sergio Ramirez.pdf</v>
          </cell>
          <cell r="AL252" t="str">
            <v>Transcripción</v>
          </cell>
          <cell r="AM252" t="str">
            <v>JUAN DANIEL BARON PITA</v>
          </cell>
          <cell r="AN252">
            <v>1057200</v>
          </cell>
          <cell r="AO252" t="str">
            <v>Precio sin Iva</v>
          </cell>
          <cell r="AP252" t="str">
            <v>No tiene IVA</v>
          </cell>
          <cell r="AQ252">
            <v>1057200</v>
          </cell>
          <cell r="AR252" t="str">
            <v xml:space="preserve"> $ -   </v>
          </cell>
          <cell r="AS252">
            <v>1057200</v>
          </cell>
          <cell r="AT252">
            <v>1057200</v>
          </cell>
          <cell r="AU252">
            <v>1057200</v>
          </cell>
          <cell r="AV252">
            <v>1057200</v>
          </cell>
          <cell r="AW252">
            <v>1057200</v>
          </cell>
          <cell r="AX252">
            <v>10000</v>
          </cell>
          <cell r="AY252">
            <v>9.4999999999999998E-3</v>
          </cell>
        </row>
        <row r="253">
          <cell r="D253" t="str">
            <v>Pelotas anti estrés con logos</v>
          </cell>
          <cell r="E253" t="str">
            <v>Pelota antiestrés de material suave y flexible. Material: PU (Poliuretano). Medidas: Diámetro: 6.3 cm Área de marca: 2,8 x 2,2 cm. Técnica de marca: Tampografía para antiestres. Impresión UV a full color 10 x 7 cm. Impresión UV a full color 10 x 7 cm personalizado.</v>
          </cell>
          <cell r="F253" t="str">
            <v>Unidad</v>
          </cell>
          <cell r="G253">
            <v>180</v>
          </cell>
          <cell r="H253" t="str">
            <v>Compra</v>
          </cell>
          <cell r="I253" t="str">
            <v>Luz Jimenez</v>
          </cell>
          <cell r="J253">
            <v>46136</v>
          </cell>
          <cell r="K253" t="str">
            <v>Guerra Editores_Varios.pdf</v>
          </cell>
          <cell r="L253" t="str">
            <v>Transcripción</v>
          </cell>
          <cell r="M253" t="str">
            <v>GRUPO EDITORES</v>
          </cell>
          <cell r="N253">
            <v>3300</v>
          </cell>
          <cell r="O253" t="str">
            <v>Precio sin Iva</v>
          </cell>
          <cell r="P253" t="str">
            <v>Si tiene IVA</v>
          </cell>
          <cell r="Q253">
            <v>3300</v>
          </cell>
          <cell r="R253">
            <v>627</v>
          </cell>
          <cell r="S253">
            <v>3927</v>
          </cell>
          <cell r="T253">
            <v>594000</v>
          </cell>
          <cell r="U253">
            <v>706860</v>
          </cell>
          <cell r="V253" t="str">
            <v>Luz Jimenez</v>
          </cell>
          <cell r="W253">
            <v>46150</v>
          </cell>
          <cell r="X253" t="str">
            <v>Pelota Antiestres – Colombian Geek.pdf</v>
          </cell>
          <cell r="Y253" t="str">
            <v>Gestión</v>
          </cell>
          <cell r="Z253" t="str">
            <v>COLOMBIA GEEK</v>
          </cell>
          <cell r="AA253">
            <v>4670</v>
          </cell>
          <cell r="AB253" t="str">
            <v>Precio sin Iva</v>
          </cell>
          <cell r="AC253" t="str">
            <v>Si tiene IVA</v>
          </cell>
          <cell r="AD253">
            <v>4670</v>
          </cell>
          <cell r="AE253">
            <v>887</v>
          </cell>
          <cell r="AF253">
            <v>5557</v>
          </cell>
          <cell r="AG253">
            <v>840600</v>
          </cell>
          <cell r="AH253">
            <v>1000314</v>
          </cell>
          <cell r="AI253" t="str">
            <v>Luz Jimenez</v>
          </cell>
          <cell r="AJ253">
            <v>46139</v>
          </cell>
          <cell r="AK253" t="str">
            <v>COMTEC SOLUTIONS S.A.S..pdf</v>
          </cell>
          <cell r="AL253" t="str">
            <v>Transcripción</v>
          </cell>
          <cell r="AM253" t="str">
            <v>COMTEC SOLUTIONS S.A.S.</v>
          </cell>
          <cell r="AN253">
            <v>3300</v>
          </cell>
          <cell r="AO253" t="str">
            <v>Precio sin Iva</v>
          </cell>
          <cell r="AP253" t="str">
            <v>Si tiene IVA</v>
          </cell>
          <cell r="AQ253">
            <v>3300</v>
          </cell>
          <cell r="AR253">
            <v>627</v>
          </cell>
          <cell r="AS253">
            <v>3927</v>
          </cell>
          <cell r="AT253">
            <v>594000</v>
          </cell>
          <cell r="AU253">
            <v>706860</v>
          </cell>
          <cell r="AV253">
            <v>4470</v>
          </cell>
          <cell r="AW253">
            <v>804600</v>
          </cell>
          <cell r="AX253">
            <v>169426</v>
          </cell>
          <cell r="AY253">
            <v>0.21060000000000001</v>
          </cell>
        </row>
        <row r="254">
          <cell r="D254" t="str">
            <v>Presentador</v>
          </cell>
          <cell r="E254" t="str">
            <v>Contratación de Speaker encargado de realizar la narración y animación durante el evento (8 horas).</v>
          </cell>
          <cell r="F254" t="str">
            <v>Servicio</v>
          </cell>
          <cell r="G254">
            <v>1</v>
          </cell>
          <cell r="H254" t="str">
            <v>PrestaciónServicio</v>
          </cell>
          <cell r="I254" t="str">
            <v>Luz Jimenez</v>
          </cell>
          <cell r="J254">
            <v>46142</v>
          </cell>
          <cell r="K254" t="str">
            <v>Juan Sebastian Villa .pdf</v>
          </cell>
          <cell r="L254" t="str">
            <v>Transcripción</v>
          </cell>
          <cell r="M254" t="str">
            <v>Juan Sebastian Bravo Villa</v>
          </cell>
          <cell r="N254">
            <v>805400</v>
          </cell>
          <cell r="O254" t="str">
            <v>Precio sin Iva</v>
          </cell>
          <cell r="P254" t="str">
            <v>No tiene IVA</v>
          </cell>
          <cell r="Q254">
            <v>805400</v>
          </cell>
          <cell r="R254" t="str">
            <v xml:space="preserve"> $ -   </v>
          </cell>
          <cell r="S254">
            <v>805400</v>
          </cell>
          <cell r="T254">
            <v>805400</v>
          </cell>
          <cell r="U254">
            <v>805400</v>
          </cell>
          <cell r="V254" t="str">
            <v>Luz Jimenez</v>
          </cell>
          <cell r="W254">
            <v>46142</v>
          </cell>
          <cell r="X254" t="str">
            <v>Sergio Ramirez.pdf</v>
          </cell>
          <cell r="Y254" t="str">
            <v>Transcripción</v>
          </cell>
          <cell r="Z254" t="str">
            <v>Sergio Jair Ospina Ramirez</v>
          </cell>
          <cell r="AA254">
            <v>785400</v>
          </cell>
          <cell r="AB254" t="str">
            <v>Precio sin Iva</v>
          </cell>
          <cell r="AC254" t="str">
            <v>No tiene IVA</v>
          </cell>
          <cell r="AD254">
            <v>785400</v>
          </cell>
          <cell r="AE254" t="str">
            <v xml:space="preserve"> $ -   </v>
          </cell>
          <cell r="AF254">
            <v>785400</v>
          </cell>
          <cell r="AG254">
            <v>785400</v>
          </cell>
          <cell r="AH254">
            <v>785400</v>
          </cell>
          <cell r="AI254" t="str">
            <v>Luz Jimenez</v>
          </cell>
          <cell r="AJ254">
            <v>46142</v>
          </cell>
          <cell r="AK254" t="str">
            <v>Daniel pita .pdf</v>
          </cell>
          <cell r="AL254" t="str">
            <v>Transcripción</v>
          </cell>
          <cell r="AM254" t="str">
            <v>JUAN DANIEL BARON PITA</v>
          </cell>
          <cell r="AN254">
            <v>795400</v>
          </cell>
          <cell r="AO254" t="str">
            <v>Precio sin Iva</v>
          </cell>
          <cell r="AP254" t="str">
            <v>No tiene IVA</v>
          </cell>
          <cell r="AQ254">
            <v>795400</v>
          </cell>
          <cell r="AR254" t="str">
            <v xml:space="preserve"> $ -   </v>
          </cell>
          <cell r="AS254">
            <v>795400</v>
          </cell>
          <cell r="AT254">
            <v>795400</v>
          </cell>
          <cell r="AU254">
            <v>795400</v>
          </cell>
          <cell r="AV254">
            <v>795400</v>
          </cell>
          <cell r="AW254">
            <v>795400</v>
          </cell>
          <cell r="AX254">
            <v>10000</v>
          </cell>
          <cell r="AY254">
            <v>1.26E-2</v>
          </cell>
        </row>
        <row r="255">
          <cell r="D255" t="str">
            <v>Sillas plásticas 46.7x50.5</v>
          </cell>
          <cell r="E255" t="str">
            <v>Alquiler de sillas: sillas plástica tipo sin brazos de 46,7 cms de ancho x 50,5 cms de largo y 89 cms de alto incluido el transporte. de 4 a 6 horas.con aval de la oficina de prensa del FDLS</v>
          </cell>
          <cell r="F255" t="str">
            <v>Unidad</v>
          </cell>
          <cell r="G255">
            <v>40</v>
          </cell>
          <cell r="H255" t="str">
            <v>Alquiler</v>
          </cell>
          <cell r="I255" t="str">
            <v>Luz Jimenez</v>
          </cell>
          <cell r="J255">
            <v>46136</v>
          </cell>
          <cell r="K255" t="str">
            <v>Guerra Editores_Varios.pdf</v>
          </cell>
          <cell r="L255" t="str">
            <v>Transcripción</v>
          </cell>
          <cell r="M255" t="str">
            <v>GRUPO EDITORES</v>
          </cell>
          <cell r="N255">
            <v>5500</v>
          </cell>
          <cell r="O255" t="str">
            <v>Precio sin Iva</v>
          </cell>
          <cell r="P255" t="str">
            <v>Si tiene IVA</v>
          </cell>
          <cell r="Q255">
            <v>5500</v>
          </cell>
          <cell r="R255">
            <v>1045</v>
          </cell>
          <cell r="S255">
            <v>6545</v>
          </cell>
          <cell r="T255">
            <v>220000</v>
          </cell>
          <cell r="U255">
            <v>261800</v>
          </cell>
          <cell r="V255" t="str">
            <v>Luz Jimenez</v>
          </cell>
          <cell r="W255">
            <v>46153</v>
          </cell>
          <cell r="X255" t="str">
            <v>RYF CONSULTORIA.pdf</v>
          </cell>
          <cell r="Y255" t="str">
            <v>Transcripción</v>
          </cell>
          <cell r="Z255" t="str">
            <v>RYF CONSULTORIA</v>
          </cell>
          <cell r="AA255">
            <v>4463.9799999999996</v>
          </cell>
          <cell r="AB255" t="str">
            <v>Precio sin Iva</v>
          </cell>
          <cell r="AC255" t="str">
            <v>Si tiene IVA</v>
          </cell>
          <cell r="AD255">
            <v>4463.9799999999996</v>
          </cell>
          <cell r="AE255">
            <v>848</v>
          </cell>
          <cell r="AF255">
            <v>4464</v>
          </cell>
          <cell r="AG255">
            <v>178559</v>
          </cell>
          <cell r="AH255">
            <v>178559</v>
          </cell>
          <cell r="AI255" t="str">
            <v>Luz Jimenez</v>
          </cell>
          <cell r="AJ255">
            <v>46139</v>
          </cell>
          <cell r="AK255" t="str">
            <v>COMTEC SOLUTIONS S.A.S..pdf</v>
          </cell>
          <cell r="AL255" t="str">
            <v>Transcripción</v>
          </cell>
          <cell r="AM255" t="str">
            <v>COMTEC SOLUTIONS S.A.S.</v>
          </cell>
          <cell r="AN255">
            <v>5500</v>
          </cell>
          <cell r="AO255" t="str">
            <v>Precio sin Iva</v>
          </cell>
          <cell r="AP255" t="str">
            <v>Si tiene IVA</v>
          </cell>
          <cell r="AQ255">
            <v>5500</v>
          </cell>
          <cell r="AR255">
            <v>1045</v>
          </cell>
          <cell r="AS255">
            <v>6545</v>
          </cell>
          <cell r="AT255">
            <v>220000</v>
          </cell>
          <cell r="AU255">
            <v>261800</v>
          </cell>
          <cell r="AV255">
            <v>5851</v>
          </cell>
          <cell r="AW255">
            <v>234040</v>
          </cell>
          <cell r="AX255">
            <v>48059</v>
          </cell>
          <cell r="AY255">
            <v>0.20530000000000001</v>
          </cell>
        </row>
        <row r="256">
          <cell r="D256" t="str">
            <v>CARTILLA METODOLÓGICA ESTILO SUBAMENTE CONSCIENTE 2.0</v>
          </cell>
          <cell r="E256" t="str">
            <v>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v>
          </cell>
          <cell r="F256" t="str">
            <v>Unidad</v>
          </cell>
          <cell r="G256">
            <v>35</v>
          </cell>
          <cell r="H256" t="str">
            <v>Compra</v>
          </cell>
          <cell r="I256" t="str">
            <v xml:space="preserve">MICHAEL BAUTISTA </v>
          </cell>
          <cell r="J256">
            <v>46156</v>
          </cell>
          <cell r="K256" t="str">
            <v>COMTEC.pdf</v>
          </cell>
          <cell r="L256" t="str">
            <v>Transcripción</v>
          </cell>
          <cell r="M256" t="str">
            <v>COMTEC</v>
          </cell>
          <cell r="N256">
            <v>92500</v>
          </cell>
          <cell r="O256" t="str">
            <v>Precio sin Iva</v>
          </cell>
          <cell r="P256" t="str">
            <v>Si tiene IVA</v>
          </cell>
          <cell r="Q256">
            <v>92500</v>
          </cell>
          <cell r="R256">
            <v>17575</v>
          </cell>
          <cell r="S256">
            <v>110075</v>
          </cell>
          <cell r="T256">
            <v>3237500</v>
          </cell>
          <cell r="U256">
            <v>3852625</v>
          </cell>
          <cell r="V256" t="str">
            <v xml:space="preserve">MICHAEL BAUTISTA </v>
          </cell>
          <cell r="W256">
            <v>46156</v>
          </cell>
          <cell r="X256" t="str">
            <v>HYN PUBLICIDAD COTIZACIÓN ALCALDIA SUBA (1).pdf</v>
          </cell>
          <cell r="Y256" t="str">
            <v>Transcripción</v>
          </cell>
          <cell r="Z256" t="str">
            <v>HYN PUBLICIDAD</v>
          </cell>
          <cell r="AA256">
            <v>93000</v>
          </cell>
          <cell r="AB256" t="str">
            <v>Precio sin Iva</v>
          </cell>
          <cell r="AC256" t="str">
            <v>Si tiene IVA</v>
          </cell>
          <cell r="AD256">
            <v>93000</v>
          </cell>
          <cell r="AE256">
            <v>17670</v>
          </cell>
          <cell r="AF256">
            <v>110670</v>
          </cell>
          <cell r="AG256">
            <v>3255000</v>
          </cell>
          <cell r="AH256">
            <v>3873450</v>
          </cell>
          <cell r="AI256" t="str">
            <v>Luz Jimenez</v>
          </cell>
          <cell r="AJ256">
            <v>46157</v>
          </cell>
          <cell r="AK256" t="str">
            <v>GUERRA EDITORES.pdf</v>
          </cell>
          <cell r="AL256" t="str">
            <v>Transcripción</v>
          </cell>
          <cell r="AM256" t="str">
            <v>GUERRA EDITORES</v>
          </cell>
          <cell r="AN256">
            <v>117600</v>
          </cell>
          <cell r="AO256" t="str">
            <v>Precio sin Iva</v>
          </cell>
          <cell r="AP256" t="str">
            <v>Si tiene IVA</v>
          </cell>
          <cell r="AQ256">
            <v>117600</v>
          </cell>
          <cell r="AR256">
            <v>22344</v>
          </cell>
          <cell r="AS256">
            <v>139944</v>
          </cell>
          <cell r="AT256">
            <v>4116000</v>
          </cell>
          <cell r="AU256">
            <v>4898040</v>
          </cell>
          <cell r="AV256">
            <v>120230</v>
          </cell>
          <cell r="AW256">
            <v>4208050</v>
          </cell>
          <cell r="AX256">
            <v>597650</v>
          </cell>
          <cell r="AY256">
            <v>0.14199999999999999</v>
          </cell>
        </row>
        <row r="257">
          <cell r="D257" t="str">
            <v>Folletos rutas institucionales</v>
          </cell>
          <cell r="E257" t="str">
            <v>Tipo de material, Folleto informativo plegable, Formato, Díptico o tríptico Tamaño abierto, Carta (21,59 x 27,94 cm) Tamaño plegado, Aproximadamente 10 x 21 cm</v>
          </cell>
          <cell r="F257" t="str">
            <v>Unidad</v>
          </cell>
          <cell r="G257">
            <v>60</v>
          </cell>
          <cell r="H257" t="str">
            <v>Compra</v>
          </cell>
          <cell r="I257" t="str">
            <v>MICHAEL BAUTISTA</v>
          </cell>
          <cell r="J257">
            <v>46156</v>
          </cell>
          <cell r="K257" t="str">
            <v>GUERRA EDITORES.pdf</v>
          </cell>
          <cell r="L257" t="str">
            <v>Transcripción</v>
          </cell>
          <cell r="M257" t="str">
            <v>GUERRA EDITORES</v>
          </cell>
          <cell r="N257">
            <v>5750</v>
          </cell>
          <cell r="O257" t="str">
            <v>Precio sin Iva</v>
          </cell>
          <cell r="P257" t="str">
            <v>Si tiene IVA</v>
          </cell>
          <cell r="Q257">
            <v>5750</v>
          </cell>
          <cell r="R257">
            <v>1093</v>
          </cell>
          <cell r="S257">
            <v>6843</v>
          </cell>
          <cell r="T257">
            <v>345000</v>
          </cell>
          <cell r="U257">
            <v>410550</v>
          </cell>
          <cell r="V257" t="str">
            <v>MICHAEL BAUTISTA</v>
          </cell>
          <cell r="W257">
            <v>46156</v>
          </cell>
          <cell r="X257" t="str">
            <v>HYN PUBLICIDAD COTIZACIÓN ALCALDIA SUBA (1).pdf</v>
          </cell>
          <cell r="Y257" t="str">
            <v>Transcripción</v>
          </cell>
          <cell r="Z257" t="str">
            <v>HYN PUBLICIDAD</v>
          </cell>
          <cell r="AA257">
            <v>7500</v>
          </cell>
          <cell r="AB257" t="str">
            <v>Precio sin Iva</v>
          </cell>
          <cell r="AC257" t="str">
            <v>Si tiene IVA</v>
          </cell>
          <cell r="AD257">
            <v>7500</v>
          </cell>
          <cell r="AE257">
            <v>1425</v>
          </cell>
          <cell r="AF257">
            <v>8925</v>
          </cell>
          <cell r="AG257">
            <v>450000</v>
          </cell>
          <cell r="AH257">
            <v>535500</v>
          </cell>
          <cell r="AI257" t="str">
            <v>MICHAEL BAUTISTA</v>
          </cell>
          <cell r="AJ257">
            <v>46156</v>
          </cell>
          <cell r="AK257" t="str">
            <v>COMTEC.pdf</v>
          </cell>
          <cell r="AL257" t="str">
            <v>Transcripción</v>
          </cell>
          <cell r="AM257" t="str">
            <v>COMTEC</v>
          </cell>
          <cell r="AN257">
            <v>7000</v>
          </cell>
          <cell r="AO257" t="str">
            <v>Precio sin Iva</v>
          </cell>
          <cell r="AP257" t="str">
            <v>Si tiene IVA</v>
          </cell>
          <cell r="AQ257">
            <v>7000</v>
          </cell>
          <cell r="AR257">
            <v>1330</v>
          </cell>
          <cell r="AS257">
            <v>8330</v>
          </cell>
          <cell r="AT257">
            <v>420000</v>
          </cell>
          <cell r="AU257">
            <v>499800</v>
          </cell>
          <cell r="AV257">
            <v>8033</v>
          </cell>
          <cell r="AW257">
            <v>481980</v>
          </cell>
          <cell r="AX257">
            <v>64359</v>
          </cell>
          <cell r="AY257">
            <v>0.13350000000000001</v>
          </cell>
        </row>
        <row r="258">
          <cell r="D258" t="str">
            <v>Llaveros Simbólicos</v>
          </cell>
          <cell r="E258" t="str">
            <v>Elemento institucional de carácter simbólico elaborado en material resistente (acrílico, madera MDF sellada o PVC rígido), diseñado para representar XXXX (por definir para cada proyecto) Presenta forma estándar (circular o rectangular), con dimensiones aproximadas entre 5 y 7 cm, impresión o grabado a una cara 
 Incluye argolla metálica inoxidable de alta resistencia para su uso cotidiano en llaves u objetos personales. La aprobación del llavero estará dispuesta al comité técnico por parte del supervisor del contrato y/o apoyos a la supervisión.  Empaque individual</v>
          </cell>
          <cell r="F258" t="str">
            <v>Unidad</v>
          </cell>
          <cell r="G258">
            <v>100</v>
          </cell>
          <cell r="H258" t="str">
            <v>Compra</v>
          </cell>
          <cell r="I258" t="str">
            <v xml:space="preserve">MICHAEL BAUTISTA </v>
          </cell>
          <cell r="J258">
            <v>46156</v>
          </cell>
          <cell r="K258" t="str">
            <v>COMTEC.pdf</v>
          </cell>
          <cell r="L258" t="str">
            <v>Transcripción</v>
          </cell>
          <cell r="M258" t="str">
            <v>COMTEC</v>
          </cell>
          <cell r="N258">
            <v>7600</v>
          </cell>
          <cell r="O258" t="str">
            <v>Precio sin Iva</v>
          </cell>
          <cell r="P258" t="str">
            <v>Si tiene IVA</v>
          </cell>
          <cell r="Q258">
            <v>7600</v>
          </cell>
          <cell r="R258">
            <v>1444</v>
          </cell>
          <cell r="S258">
            <v>9044</v>
          </cell>
          <cell r="T258">
            <v>760000</v>
          </cell>
          <cell r="U258">
            <v>904400</v>
          </cell>
          <cell r="V258" t="str">
            <v xml:space="preserve">MICHAEL BAUTISTA </v>
          </cell>
          <cell r="W258">
            <v>46156</v>
          </cell>
          <cell r="X258" t="str">
            <v>COTIZACION ENTERPRISE.pdf</v>
          </cell>
          <cell r="Y258" t="str">
            <v>Transcripción</v>
          </cell>
          <cell r="Z258" t="str">
            <v>ENTERPRISE</v>
          </cell>
          <cell r="AA258">
            <v>5860</v>
          </cell>
          <cell r="AB258" t="str">
            <v>Precio sin Iva</v>
          </cell>
          <cell r="AC258" t="str">
            <v>Si tiene IVA</v>
          </cell>
          <cell r="AD258">
            <v>5860</v>
          </cell>
          <cell r="AE258">
            <v>1113</v>
          </cell>
          <cell r="AF258">
            <v>6973</v>
          </cell>
          <cell r="AG258">
            <v>586000</v>
          </cell>
          <cell r="AH258">
            <v>697340</v>
          </cell>
          <cell r="AI258" t="str">
            <v>MICHAEL BAUTISTA</v>
          </cell>
          <cell r="AJ258">
            <v>46156</v>
          </cell>
          <cell r="AK258" t="str">
            <v>HYN PUBLICIDAD COTIZACIÓN ALCALDIA SUBA (1).pdf</v>
          </cell>
          <cell r="AL258" t="str">
            <v>Transcripción</v>
          </cell>
          <cell r="AM258" t="str">
            <v>HYN PUBLICIDAD</v>
          </cell>
          <cell r="AN258">
            <v>8040</v>
          </cell>
          <cell r="AO258" t="str">
            <v>Precio sin Iva</v>
          </cell>
          <cell r="AP258" t="str">
            <v>Si tiene IVA</v>
          </cell>
          <cell r="AQ258">
            <v>8040</v>
          </cell>
          <cell r="AR258">
            <v>1528</v>
          </cell>
          <cell r="AS258">
            <v>9568</v>
          </cell>
          <cell r="AT258">
            <v>804000</v>
          </cell>
          <cell r="AU258">
            <v>956760</v>
          </cell>
          <cell r="AV258">
            <v>8528</v>
          </cell>
          <cell r="AW258">
            <v>852800</v>
          </cell>
          <cell r="AX258">
            <v>137182</v>
          </cell>
          <cell r="AY258">
            <v>0.16089999999999999</v>
          </cell>
        </row>
        <row r="259">
          <cell r="D259" t="str">
            <v>MEDALLAS RECONOCIMIENTOS ESPECIALES</v>
          </cell>
          <cell r="E259" t="str">
            <v>"Medallas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v>
          </cell>
          <cell r="F259" t="str">
            <v>Unidad</v>
          </cell>
          <cell r="G259">
            <v>50</v>
          </cell>
          <cell r="H259" t="str">
            <v>Compra</v>
          </cell>
          <cell r="I259" t="str">
            <v xml:space="preserve">MICHAEL BAUTISTA </v>
          </cell>
          <cell r="J259">
            <v>46156</v>
          </cell>
          <cell r="K259" t="str">
            <v>COMTEC.pdf</v>
          </cell>
          <cell r="L259" t="str">
            <v>Transcripción</v>
          </cell>
          <cell r="M259" t="str">
            <v>COMTEC</v>
          </cell>
          <cell r="N259">
            <v>14000</v>
          </cell>
          <cell r="O259" t="str">
            <v>Precio sin Iva</v>
          </cell>
          <cell r="P259" t="str">
            <v>Si tiene IVA</v>
          </cell>
          <cell r="Q259">
            <v>14000</v>
          </cell>
          <cell r="R259">
            <v>2660</v>
          </cell>
          <cell r="S259">
            <v>16660</v>
          </cell>
          <cell r="T259">
            <v>700000</v>
          </cell>
          <cell r="U259">
            <v>833000</v>
          </cell>
          <cell r="V259" t="str">
            <v xml:space="preserve">MICHAEL BAUTISTA </v>
          </cell>
          <cell r="W259">
            <v>46156</v>
          </cell>
          <cell r="X259" t="str">
            <v>COTIZACION ENTERPRISE.pdf</v>
          </cell>
          <cell r="Y259" t="str">
            <v>Transcripción</v>
          </cell>
          <cell r="Z259" t="str">
            <v>ENTERPRISE</v>
          </cell>
          <cell r="AA259">
            <v>11890</v>
          </cell>
          <cell r="AB259" t="str">
            <v>Precio sin Iva</v>
          </cell>
          <cell r="AC259" t="str">
            <v>Si tiene IVA</v>
          </cell>
          <cell r="AD259">
            <v>11890</v>
          </cell>
          <cell r="AE259">
            <v>2259</v>
          </cell>
          <cell r="AF259">
            <v>14149</v>
          </cell>
          <cell r="AG259">
            <v>594500</v>
          </cell>
          <cell r="AH259">
            <v>707455</v>
          </cell>
          <cell r="AI259" t="str">
            <v xml:space="preserve">MICHAEL BAUTISTA </v>
          </cell>
          <cell r="AJ259">
            <v>46156</v>
          </cell>
          <cell r="AK259" t="str">
            <v>HYN PUBLICIDAD COTIZACIÓN ALCALDIA SUBA (1).pdf</v>
          </cell>
          <cell r="AL259" t="str">
            <v>TRANSCRIPCION</v>
          </cell>
          <cell r="AM259" t="str">
            <v>HYN PUBLICIDAD</v>
          </cell>
          <cell r="AN259">
            <v>15000</v>
          </cell>
          <cell r="AO259" t="str">
            <v>Precio sin Iva</v>
          </cell>
          <cell r="AP259" t="str">
            <v>Si tiene IVA</v>
          </cell>
          <cell r="AQ259">
            <v>15000</v>
          </cell>
          <cell r="AR259">
            <v>2850</v>
          </cell>
          <cell r="AS259">
            <v>17850</v>
          </cell>
          <cell r="AT259">
            <v>750000</v>
          </cell>
          <cell r="AU259">
            <v>892500</v>
          </cell>
          <cell r="AV259">
            <v>16220</v>
          </cell>
          <cell r="AW259">
            <v>811000</v>
          </cell>
          <cell r="AX259">
            <v>94466</v>
          </cell>
          <cell r="AY259">
            <v>0.11650000000000001</v>
          </cell>
        </row>
        <row r="260">
          <cell r="D260" t="str">
            <v>Togas y Birretes</v>
          </cell>
          <cell r="E260" t="str">
            <v>Servicio de alquiler de treinta (30) togas y birretes para ceremonia de reconocimiento de participantes del diplomado. Los elementos deberán encontrarse en óptimas condiciones de presentación, limpieza y uniformidad, acordes con un acto ceremonial.</v>
          </cell>
          <cell r="F260" t="str">
            <v>Unidad</v>
          </cell>
          <cell r="G260">
            <v>30</v>
          </cell>
          <cell r="H260" t="str">
            <v>Alquiler</v>
          </cell>
          <cell r="I260" t="str">
            <v>Sandra Vargas</v>
          </cell>
          <cell r="J260">
            <v>46170</v>
          </cell>
          <cell r="K260" t="str">
            <v>TOGAS &amp; BIRRETES</v>
          </cell>
          <cell r="L260" t="str">
            <v>Gestión</v>
          </cell>
          <cell r="M260" t="str">
            <v>TOGAS &amp; BIRRETES</v>
          </cell>
          <cell r="N260">
            <v>30000</v>
          </cell>
          <cell r="O260" t="str">
            <v>Precio sin Iva</v>
          </cell>
          <cell r="P260" t="str">
            <v>Si tiene IVA</v>
          </cell>
          <cell r="Q260">
            <v>30000</v>
          </cell>
          <cell r="R260">
            <v>5700</v>
          </cell>
          <cell r="S260">
            <v>35700</v>
          </cell>
          <cell r="T260">
            <v>900000</v>
          </cell>
          <cell r="U260">
            <v>1071000</v>
          </cell>
          <cell r="V260" t="str">
            <v>Sandra Vargas</v>
          </cell>
          <cell r="W260">
            <v>46170</v>
          </cell>
          <cell r="X260" t="str">
            <v>ALTO GRADO CO</v>
          </cell>
          <cell r="Y260" t="str">
            <v>Gestión</v>
          </cell>
          <cell r="Z260" t="str">
            <v>ALTO GRADO</v>
          </cell>
          <cell r="AA260">
            <v>26890</v>
          </cell>
          <cell r="AB260" t="str">
            <v>Precio sin Iva</v>
          </cell>
          <cell r="AC260" t="str">
            <v>Si tiene IVA</v>
          </cell>
          <cell r="AD260">
            <v>26890</v>
          </cell>
          <cell r="AE260">
            <v>5109</v>
          </cell>
          <cell r="AF260">
            <v>31999</v>
          </cell>
          <cell r="AG260">
            <v>806700</v>
          </cell>
          <cell r="AH260">
            <v>959973</v>
          </cell>
          <cell r="AI260" t="str">
            <v>Sandra Vargas</v>
          </cell>
          <cell r="AJ260">
            <v>46170</v>
          </cell>
          <cell r="AK260" t="str">
            <v>VESTIDOS TRAJES Y TOGAS</v>
          </cell>
          <cell r="AL260" t="str">
            <v>Gestión</v>
          </cell>
          <cell r="AM260" t="str">
            <v>VESTIDOS TRAJES Y TOGAS</v>
          </cell>
          <cell r="AN260">
            <v>30000</v>
          </cell>
          <cell r="AO260" t="str">
            <v>Precio sin Iva</v>
          </cell>
          <cell r="AP260" t="str">
            <v>No tiene IVA</v>
          </cell>
          <cell r="AQ260">
            <v>30000</v>
          </cell>
          <cell r="AR260" t="str">
            <v xml:space="preserve"> $ -   </v>
          </cell>
          <cell r="AS260">
            <v>30000</v>
          </cell>
          <cell r="AT260">
            <v>900000</v>
          </cell>
          <cell r="AU260">
            <v>900000</v>
          </cell>
          <cell r="AV260">
            <v>32566</v>
          </cell>
          <cell r="AW260">
            <v>976980</v>
          </cell>
          <cell r="AX260">
            <v>86761</v>
          </cell>
          <cell r="AY260">
            <v>8.8800000000000004E-2</v>
          </cell>
        </row>
        <row r="261">
          <cell r="D261" t="str">
            <v>Cajas Plastilina Larga X12 Colores</v>
          </cell>
          <cell r="E261" t="str">
            <v>Plastilina Larga Caja X12 unidades de colores.</v>
          </cell>
          <cell r="F261" t="str">
            <v>Caja</v>
          </cell>
          <cell r="G261">
            <v>42</v>
          </cell>
          <cell r="H261" t="str">
            <v>Compra</v>
          </cell>
          <cell r="I261" t="str">
            <v>Sandra Vargas</v>
          </cell>
          <cell r="J261">
            <v>46170</v>
          </cell>
          <cell r="K261" t="str">
            <v>Homecenter.com.co_Plastilina Larga Colores Surtidos X 12und</v>
          </cell>
          <cell r="L261" t="str">
            <v>Gestión</v>
          </cell>
          <cell r="M261" t="str">
            <v>HOMCENTER</v>
          </cell>
          <cell r="N261">
            <v>6900</v>
          </cell>
          <cell r="O261" t="str">
            <v>IVA incluido</v>
          </cell>
          <cell r="P261" t="str">
            <v>Si tiene IVA</v>
          </cell>
          <cell r="Q261">
            <v>5798.32</v>
          </cell>
          <cell r="R261">
            <v>1102</v>
          </cell>
          <cell r="S261">
            <v>6900</v>
          </cell>
          <cell r="T261">
            <v>243529</v>
          </cell>
          <cell r="U261">
            <v>289800</v>
          </cell>
          <cell r="V261" t="str">
            <v>Sandra Vargas</v>
          </cell>
          <cell r="W261">
            <v>46170</v>
          </cell>
          <cell r="X261" t="str">
            <v>El Gigante del Hogar_Plastilina corta jumbo x12 unidades multicolor Kores</v>
          </cell>
          <cell r="Y261" t="str">
            <v>Gestión</v>
          </cell>
          <cell r="Z261" t="str">
            <v>EL GIGANTE DEL HOGAR</v>
          </cell>
          <cell r="AA261">
            <v>6600</v>
          </cell>
          <cell r="AB261" t="str">
            <v>IVA incluido</v>
          </cell>
          <cell r="AC261" t="str">
            <v>Si tiene IVA</v>
          </cell>
          <cell r="AD261">
            <v>5546.22</v>
          </cell>
          <cell r="AE261">
            <v>1054</v>
          </cell>
          <cell r="AF261">
            <v>6600</v>
          </cell>
          <cell r="AG261">
            <v>232941</v>
          </cell>
          <cell r="AH261">
            <v>277200</v>
          </cell>
          <cell r="AI261" t="str">
            <v>Sandra Vargas</v>
          </cell>
          <cell r="AJ261">
            <v>46170</v>
          </cell>
          <cell r="AK261" t="str">
            <v>Falabella Colombia_Plastilina Larga Colores Surtidos X 12und PELIKAN</v>
          </cell>
          <cell r="AL261" t="str">
            <v>Gestión</v>
          </cell>
          <cell r="AM261" t="str">
            <v>FALABELLA</v>
          </cell>
          <cell r="AN261">
            <v>6900</v>
          </cell>
          <cell r="AO261" t="str">
            <v>IVA incluido</v>
          </cell>
          <cell r="AP261" t="str">
            <v>Si tiene IVA</v>
          </cell>
          <cell r="AQ261">
            <v>5798.32</v>
          </cell>
          <cell r="AR261">
            <v>1102</v>
          </cell>
          <cell r="AS261">
            <v>6900</v>
          </cell>
          <cell r="AT261">
            <v>243529</v>
          </cell>
          <cell r="AU261">
            <v>289800</v>
          </cell>
          <cell r="AV261">
            <v>6800</v>
          </cell>
          <cell r="AW261">
            <v>285600</v>
          </cell>
          <cell r="AX261">
            <v>7275</v>
          </cell>
          <cell r="AY261">
            <v>2.5499999999999998E-2</v>
          </cell>
        </row>
        <row r="262">
          <cell r="D262" t="str">
            <v>Carpeta tipo sobre</v>
          </cell>
          <cell r="E262" t="str">
            <v>Carpeta tamaño carta tipo fuelle acordeon de 13 bolsillos con manija</v>
          </cell>
          <cell r="F262" t="str">
            <v>Unidad</v>
          </cell>
          <cell r="G262">
            <v>30</v>
          </cell>
          <cell r="H262" t="str">
            <v>Compra</v>
          </cell>
          <cell r="I262" t="str">
            <v>Sandra Vargas</v>
          </cell>
          <cell r="J262">
            <v>46170</v>
          </cell>
          <cell r="K262" t="str">
            <v>Archivador Fuelle Oficio 13 Bolsillos Azul Mae (AO13-AZ) - SsKaizen-Colombia</v>
          </cell>
          <cell r="L262" t="str">
            <v>Gestión</v>
          </cell>
          <cell r="M262" t="str">
            <v>KAIZEN COLOMBIA</v>
          </cell>
          <cell r="N262">
            <v>21023</v>
          </cell>
          <cell r="O262" t="str">
            <v>IVA incluido</v>
          </cell>
          <cell r="P262" t="str">
            <v>Si tiene IVA</v>
          </cell>
          <cell r="Q262">
            <v>17666.39</v>
          </cell>
          <cell r="R262">
            <v>3357</v>
          </cell>
          <cell r="S262">
            <v>21023</v>
          </cell>
          <cell r="T262">
            <v>529992</v>
          </cell>
          <cell r="U262">
            <v>630690</v>
          </cell>
          <cell r="V262" t="str">
            <v>Sandra Vargas</v>
          </cell>
          <cell r="W262">
            <v>46170</v>
          </cell>
          <cell r="X262" t="str">
            <v>PANAFARGO_Archivador Fuelle Maletín Offi-Esco - 13 Bolsillos</v>
          </cell>
          <cell r="Y262" t="str">
            <v>Gestión</v>
          </cell>
          <cell r="Z262" t="str">
            <v>PANAFARGO</v>
          </cell>
          <cell r="AA262">
            <v>24300</v>
          </cell>
          <cell r="AB262" t="str">
            <v>IVA incluido</v>
          </cell>
          <cell r="AC262" t="str">
            <v>Si tiene IVA</v>
          </cell>
          <cell r="AD262">
            <v>20420.169999999998</v>
          </cell>
          <cell r="AE262">
            <v>3880</v>
          </cell>
          <cell r="AF262">
            <v>24300</v>
          </cell>
          <cell r="AG262">
            <v>612605</v>
          </cell>
          <cell r="AH262">
            <v>729000</v>
          </cell>
          <cell r="AI262" t="str">
            <v>Sandra Vargas</v>
          </cell>
          <cell r="AJ262">
            <v>46170</v>
          </cell>
          <cell r="AK262" t="str">
            <v>lagranpapeleria_ARCHIVADOR 13 BOLSILLOS CARTA CON MANIJA</v>
          </cell>
          <cell r="AL262" t="str">
            <v>Gestión</v>
          </cell>
          <cell r="AM262" t="str">
            <v>LA GRAN PAPELERIA</v>
          </cell>
          <cell r="AN262">
            <v>22000</v>
          </cell>
          <cell r="AO262" t="str">
            <v>IVA incluido</v>
          </cell>
          <cell r="AP262" t="str">
            <v>Si tiene IVA</v>
          </cell>
          <cell r="AQ262">
            <v>18487.39</v>
          </cell>
          <cell r="AR262">
            <v>3513</v>
          </cell>
          <cell r="AS262">
            <v>22000</v>
          </cell>
          <cell r="AT262">
            <v>554622</v>
          </cell>
          <cell r="AU262">
            <v>660000</v>
          </cell>
          <cell r="AV262">
            <v>22441</v>
          </cell>
          <cell r="AW262">
            <v>673230</v>
          </cell>
          <cell r="AX262">
            <v>50473</v>
          </cell>
          <cell r="AY262">
            <v>7.4999999999999997E-2</v>
          </cell>
        </row>
        <row r="263">
          <cell r="D263" t="str">
            <v>Resaltadores Set X5 Colores Fluorescentes Punta Bisel</v>
          </cell>
          <cell r="E263" t="str">
            <v>Resaltadores Set X5 Colores Fluorescentes Punta Bisel</v>
          </cell>
          <cell r="F263" t="str">
            <v>Set</v>
          </cell>
          <cell r="G263">
            <v>12</v>
          </cell>
          <cell r="H263" t="str">
            <v>Compra</v>
          </cell>
          <cell r="I263" t="str">
            <v>Sandra Vargas</v>
          </cell>
          <cell r="J263">
            <v>46170</v>
          </cell>
          <cell r="K263" t="str">
            <v>COMERCIAL PAPELERA_Resaltador Azor Punta Gruesa X5 Und Colores Pastel Surtidos</v>
          </cell>
          <cell r="L263" t="str">
            <v>Gestión</v>
          </cell>
          <cell r="M263" t="str">
            <v>COMERCIAL PAPELERA</v>
          </cell>
          <cell r="N263">
            <v>16900</v>
          </cell>
          <cell r="O263" t="str">
            <v>IVA incluido</v>
          </cell>
          <cell r="P263" t="str">
            <v>Si tiene IVA</v>
          </cell>
          <cell r="Q263">
            <v>14201.68</v>
          </cell>
          <cell r="R263">
            <v>2698</v>
          </cell>
          <cell r="S263">
            <v>16900</v>
          </cell>
          <cell r="T263">
            <v>170420</v>
          </cell>
          <cell r="U263">
            <v>202800</v>
          </cell>
          <cell r="V263" t="str">
            <v>Sandra Vargas</v>
          </cell>
          <cell r="W263">
            <v>46170</v>
          </cell>
          <cell r="X263" t="str">
            <v>ESCALANDO FUTURO</v>
          </cell>
          <cell r="Y263" t="str">
            <v>Gestión</v>
          </cell>
          <cell r="Z263" t="str">
            <v>ESCALANDO FUTURO</v>
          </cell>
          <cell r="AA263">
            <v>15000</v>
          </cell>
          <cell r="AB263" t="str">
            <v>Precio sin Iva</v>
          </cell>
          <cell r="AC263" t="str">
            <v>Si tiene IVA</v>
          </cell>
          <cell r="AD263">
            <v>15000</v>
          </cell>
          <cell r="AE263">
            <v>2850</v>
          </cell>
          <cell r="AF263">
            <v>17850</v>
          </cell>
          <cell r="AG263">
            <v>180000</v>
          </cell>
          <cell r="AH263">
            <v>214200</v>
          </cell>
          <cell r="AI263" t="str">
            <v>Sandra Vargas</v>
          </cell>
          <cell r="AJ263">
            <v>46170</v>
          </cell>
          <cell r="AK263" t="str">
            <v>CheapShopping_RESALTADOR PUNTA BISEL BLISTER X5 MARFIL</v>
          </cell>
          <cell r="AL263" t="str">
            <v>Gestión</v>
          </cell>
          <cell r="AM263" t="str">
            <v>CHEAP SHOPPING</v>
          </cell>
          <cell r="AN263">
            <v>15200</v>
          </cell>
          <cell r="AO263" t="str">
            <v>IVA incluido</v>
          </cell>
          <cell r="AP263" t="str">
            <v>Si tiene IVA</v>
          </cell>
          <cell r="AQ263">
            <v>12773.11</v>
          </cell>
          <cell r="AR263">
            <v>2427</v>
          </cell>
          <cell r="AS263">
            <v>15200</v>
          </cell>
          <cell r="AT263">
            <v>153277</v>
          </cell>
          <cell r="AU263">
            <v>182400</v>
          </cell>
          <cell r="AV263">
            <v>16650</v>
          </cell>
          <cell r="AW263">
            <v>199800</v>
          </cell>
          <cell r="AX263">
            <v>16111</v>
          </cell>
          <cell r="AY263">
            <v>8.0600000000000005E-2</v>
          </cell>
        </row>
        <row r="264">
          <cell r="D264" t="str">
            <v>Banner Publicitario 40x60</v>
          </cell>
          <cell r="E264" t="str">
            <v>Impresión a media carta 4 tintas en papel propalcote o kimberly 200 gr, tamaño 22x28 cm con nombres individuales o espacio para el mismo, refilados.</v>
          </cell>
          <cell r="F264" t="str">
            <v>Unidad</v>
          </cell>
          <cell r="G264">
            <v>30</v>
          </cell>
          <cell r="H264" t="str">
            <v>Alquiler</v>
          </cell>
          <cell r="I264" t="str">
            <v>Sandra Vargas</v>
          </cell>
          <cell r="J264">
            <v>46170</v>
          </cell>
          <cell r="K264" t="str">
            <v>UNIMAGIC PERSONALIZADOS</v>
          </cell>
          <cell r="L264" t="str">
            <v>Gestión</v>
          </cell>
          <cell r="M264" t="str">
            <v>UNIMAGIC PERSONALIZADOS</v>
          </cell>
          <cell r="N264">
            <v>35000</v>
          </cell>
          <cell r="O264" t="str">
            <v>Precio sin Iva</v>
          </cell>
          <cell r="P264" t="str">
            <v>No tiene IVA</v>
          </cell>
          <cell r="Q264">
            <v>35000</v>
          </cell>
          <cell r="R264" t="str">
            <v xml:space="preserve"> $ -   </v>
          </cell>
          <cell r="S264">
            <v>35000</v>
          </cell>
          <cell r="T264">
            <v>1050000</v>
          </cell>
          <cell r="U264">
            <v>1050000</v>
          </cell>
          <cell r="V264" t="str">
            <v>Sandra Vargas</v>
          </cell>
          <cell r="W264">
            <v>46170</v>
          </cell>
          <cell r="X264" t="str">
            <v>Natural Graphic_2026</v>
          </cell>
          <cell r="Y264" t="str">
            <v>Gestión</v>
          </cell>
          <cell r="Z264" t="str">
            <v>NATURAL GRAPHIC</v>
          </cell>
          <cell r="AA264">
            <v>36000</v>
          </cell>
          <cell r="AB264" t="str">
            <v>Precio sin Iva</v>
          </cell>
          <cell r="AC264" t="str">
            <v>Si tiene IVA</v>
          </cell>
          <cell r="AD264">
            <v>36000</v>
          </cell>
          <cell r="AE264">
            <v>6840</v>
          </cell>
          <cell r="AF264">
            <v>42840</v>
          </cell>
          <cell r="AG264">
            <v>1080000</v>
          </cell>
          <cell r="AH264">
            <v>1285200</v>
          </cell>
          <cell r="AI264" t="str">
            <v>Sandra Vargas</v>
          </cell>
          <cell r="AJ264">
            <v>46170</v>
          </cell>
          <cell r="AK264" t="str">
            <v>grupo casaro sas</v>
          </cell>
          <cell r="AL264" t="str">
            <v>Gestión</v>
          </cell>
          <cell r="AM264" t="str">
            <v>GRUPO CASARO SAS</v>
          </cell>
          <cell r="AN264">
            <v>35000</v>
          </cell>
          <cell r="AO264" t="str">
            <v>Precio sin Iva</v>
          </cell>
          <cell r="AP264" t="str">
            <v>Si tiene IVA</v>
          </cell>
          <cell r="AQ264">
            <v>35000</v>
          </cell>
          <cell r="AR264">
            <v>6650</v>
          </cell>
          <cell r="AS264">
            <v>41650</v>
          </cell>
          <cell r="AT264">
            <v>1050000</v>
          </cell>
          <cell r="AU264">
            <v>1249500</v>
          </cell>
          <cell r="AV264">
            <v>39830</v>
          </cell>
          <cell r="AW264">
            <v>1194900</v>
          </cell>
          <cell r="AX264">
            <v>126750</v>
          </cell>
          <cell r="AY264">
            <v>0.1061</v>
          </cell>
        </row>
        <row r="265">
          <cell r="D265" t="str">
            <v>Bolsa plegable de algodón con asas largas</v>
          </cell>
          <cell r="E265" t="str">
            <v>• Bolsa Ecológica Plana en Tela 100% reciclable y biodegradable con mangos largos, Color Rojo. Medidas 42,0 x 38,0 x 0,2 cm, estampado a una tinta. • Máximo marcaje 280mm x 280 mm. • Su diseño deberá contar con la aprobación de la Oficina de Prensa del Fondo de Desarrollo Local de Suba.</v>
          </cell>
          <cell r="F265" t="str">
            <v>Unidad</v>
          </cell>
          <cell r="G265">
            <v>30</v>
          </cell>
          <cell r="H265" t="str">
            <v>Compra</v>
          </cell>
          <cell r="I265" t="str">
            <v>Sandra Vargas</v>
          </cell>
          <cell r="J265">
            <v>46175</v>
          </cell>
          <cell r="K265" t="str">
            <v>DICOES GRUPO PUBLICITARIO</v>
          </cell>
          <cell r="L265" t="str">
            <v>Gestión</v>
          </cell>
          <cell r="M265" t="str">
            <v>DICOES GRUPO PUBLICITARIO</v>
          </cell>
          <cell r="N265">
            <v>5200</v>
          </cell>
          <cell r="O265" t="str">
            <v>Precio sin Iva</v>
          </cell>
          <cell r="P265" t="str">
            <v>Si tiene IVA</v>
          </cell>
          <cell r="Q265">
            <v>5200</v>
          </cell>
          <cell r="R265">
            <v>988</v>
          </cell>
          <cell r="S265">
            <v>6188</v>
          </cell>
          <cell r="T265">
            <v>156000</v>
          </cell>
          <cell r="U265">
            <v>185640</v>
          </cell>
          <cell r="V265" t="str">
            <v>Sandra Vargas</v>
          </cell>
          <cell r="W265">
            <v>46175</v>
          </cell>
          <cell r="X265" t="str">
            <v>IDDENTIFY SAS</v>
          </cell>
          <cell r="Y265" t="str">
            <v>Gestión</v>
          </cell>
          <cell r="Z265" t="str">
            <v>IDENTIFY SAS</v>
          </cell>
          <cell r="AA265">
            <v>5400</v>
          </cell>
          <cell r="AB265" t="str">
            <v>Precio sin Iva</v>
          </cell>
          <cell r="AC265" t="str">
            <v>Si tiene IVA</v>
          </cell>
          <cell r="AD265">
            <v>5400</v>
          </cell>
          <cell r="AE265">
            <v>1026</v>
          </cell>
          <cell r="AF265">
            <v>6426</v>
          </cell>
          <cell r="AG265">
            <v>162000</v>
          </cell>
          <cell r="AH265">
            <v>192780</v>
          </cell>
          <cell r="AI265" t="str">
            <v>Sandra Vargas</v>
          </cell>
          <cell r="AJ265">
            <v>46175</v>
          </cell>
          <cell r="AK265" t="str">
            <v>PUBLICITAR COLOMBIA</v>
          </cell>
          <cell r="AL265" t="str">
            <v>Gestión</v>
          </cell>
          <cell r="AM265" t="str">
            <v>PUBLICITAR COLOMBIA</v>
          </cell>
          <cell r="AN265">
            <v>5610</v>
          </cell>
          <cell r="AO265" t="str">
            <v>Precio sin Iva</v>
          </cell>
          <cell r="AP265" t="str">
            <v>Si tiene IVA</v>
          </cell>
          <cell r="AQ265">
            <v>5610</v>
          </cell>
          <cell r="AR265">
            <v>1066</v>
          </cell>
          <cell r="AS265">
            <v>6676</v>
          </cell>
          <cell r="AT265">
            <v>168300</v>
          </cell>
          <cell r="AU265">
            <v>200277</v>
          </cell>
          <cell r="AV265">
            <v>6430</v>
          </cell>
          <cell r="AW265">
            <v>192900</v>
          </cell>
          <cell r="AX265">
            <v>7319</v>
          </cell>
          <cell r="AY265">
            <v>3.7900000000000003E-2</v>
          </cell>
        </row>
        <row r="266">
          <cell r="D266" t="str">
            <v>Gel Antibacterial</v>
          </cell>
          <cell r="E266" t="str">
            <v>Frasco de gel antibacterial de 500 ml</v>
          </cell>
          <cell r="F266" t="str">
            <v>Unidad</v>
          </cell>
          <cell r="G266">
            <v>2</v>
          </cell>
          <cell r="H266" t="str">
            <v>Compra</v>
          </cell>
          <cell r="I266" t="str">
            <v>Sandra Vargas</v>
          </cell>
          <cell r="J266">
            <v>46170</v>
          </cell>
          <cell r="K266" t="str">
            <v>SUPER CONSTRUCTORA COMADERAS_Gel Antibacterial 500CC Full Fresh</v>
          </cell>
          <cell r="L266" t="str">
            <v>Gestión</v>
          </cell>
          <cell r="M266" t="str">
            <v>SUPER CONSTRUCTORA COMADERAS_Gel Antibacterial 500CC Full Fresh</v>
          </cell>
          <cell r="N266">
            <v>10900</v>
          </cell>
          <cell r="O266" t="str">
            <v>IVA incluido</v>
          </cell>
          <cell r="P266" t="str">
            <v>Si tiene IVA</v>
          </cell>
          <cell r="Q266">
            <v>9159.66</v>
          </cell>
          <cell r="R266">
            <v>1740</v>
          </cell>
          <cell r="S266">
            <v>10900</v>
          </cell>
          <cell r="T266">
            <v>18319</v>
          </cell>
          <cell r="U266">
            <v>21800</v>
          </cell>
          <cell r="V266" t="str">
            <v>Sandra Vargas</v>
          </cell>
          <cell r="W266">
            <v>46170</v>
          </cell>
          <cell r="X266" t="str">
            <v>FERRICENTRO_Gel Antibacterial Instantáneo 500Cc</v>
          </cell>
          <cell r="Y266" t="str">
            <v>Gestión</v>
          </cell>
          <cell r="Z266" t="str">
            <v>FERRICENTRO</v>
          </cell>
          <cell r="AA266">
            <v>11800</v>
          </cell>
          <cell r="AB266" t="str">
            <v>IVA incluido</v>
          </cell>
          <cell r="AC266" t="str">
            <v>Si tiene IVA</v>
          </cell>
          <cell r="AD266">
            <v>9915.9699999999993</v>
          </cell>
          <cell r="AE266">
            <v>1884</v>
          </cell>
          <cell r="AF266">
            <v>11800</v>
          </cell>
          <cell r="AG266">
            <v>19832</v>
          </cell>
          <cell r="AH266">
            <v>23600</v>
          </cell>
          <cell r="AI266" t="str">
            <v>Sandra Vargas</v>
          </cell>
          <cell r="AJ266">
            <v>46170</v>
          </cell>
          <cell r="AK266" t="str">
            <v>Cruz Verde_Samy Gel Antibacterial Hand Frasco X 500Ml</v>
          </cell>
          <cell r="AL266" t="str">
            <v>Gestión</v>
          </cell>
          <cell r="AM266" t="str">
            <v>CRUZ VERDE</v>
          </cell>
          <cell r="AN266">
            <v>11800</v>
          </cell>
          <cell r="AO266" t="str">
            <v>IVA incluido</v>
          </cell>
          <cell r="AP266" t="str">
            <v>Si tiene IVA</v>
          </cell>
          <cell r="AQ266">
            <v>9915.9699999999993</v>
          </cell>
          <cell r="AR266">
            <v>1884</v>
          </cell>
          <cell r="AS266">
            <v>11800</v>
          </cell>
          <cell r="AT266">
            <v>19832</v>
          </cell>
          <cell r="AU266">
            <v>23600</v>
          </cell>
          <cell r="AV266">
            <v>11500</v>
          </cell>
          <cell r="AW266">
            <v>23000</v>
          </cell>
          <cell r="AX266">
            <v>1039</v>
          </cell>
          <cell r="AY266">
            <v>4.5199999999999997E-2</v>
          </cell>
        </row>
        <row r="267">
          <cell r="D267" t="str">
            <v>Trofeos 1 er lugar</v>
          </cell>
          <cell r="E267" t="str">
            <v>1 er lugar: Elaborado en metal, madera o vidrio, de 50 cm de altura, baño dorado o plateado, base en madera, placa con logotipo y texto a color. Diseño suministrado y aprobado por el FDLS.</v>
          </cell>
          <cell r="F267" t="str">
            <v>Unidad</v>
          </cell>
          <cell r="G267">
            <v>3</v>
          </cell>
          <cell r="H267" t="str">
            <v>Compra</v>
          </cell>
          <cell r="I267" t="str">
            <v>Sandra Vargas</v>
          </cell>
          <cell r="J267">
            <v>46181</v>
          </cell>
          <cell r="K267" t="str">
            <v>Avance Organizacional Consultores sas</v>
          </cell>
          <cell r="L267" t="str">
            <v>Transcripción</v>
          </cell>
          <cell r="M267" t="str">
            <v>AVANCE ORGANIZACIONAL</v>
          </cell>
          <cell r="N267">
            <v>150000</v>
          </cell>
          <cell r="O267" t="str">
            <v>Precio sin Iva</v>
          </cell>
          <cell r="P267" t="str">
            <v>Si tiene IVA</v>
          </cell>
          <cell r="Q267">
            <v>150000</v>
          </cell>
          <cell r="R267">
            <v>28500</v>
          </cell>
          <cell r="S267">
            <v>178500</v>
          </cell>
          <cell r="T267">
            <v>450000</v>
          </cell>
          <cell r="U267">
            <v>535500</v>
          </cell>
          <cell r="V267" t="str">
            <v>Sandra Vargas</v>
          </cell>
          <cell r="W267">
            <v>46181</v>
          </cell>
          <cell r="X267" t="str">
            <v>COMLEXA</v>
          </cell>
          <cell r="Y267" t="str">
            <v>Transcripción</v>
          </cell>
          <cell r="Z267" t="str">
            <v>COMLEXA</v>
          </cell>
          <cell r="AA267">
            <v>120000</v>
          </cell>
          <cell r="AB267" t="str">
            <v>Precio sin Iva</v>
          </cell>
          <cell r="AC267" t="str">
            <v>Si tiene IVA</v>
          </cell>
          <cell r="AD267">
            <v>120000</v>
          </cell>
          <cell r="AE267">
            <v>22800</v>
          </cell>
          <cell r="AF267">
            <v>142800</v>
          </cell>
          <cell r="AG267">
            <v>360000</v>
          </cell>
          <cell r="AH267">
            <v>428400</v>
          </cell>
          <cell r="AI267" t="str">
            <v>Sandra Vargas</v>
          </cell>
          <cell r="AJ267">
            <v>46181</v>
          </cell>
          <cell r="AK267" t="str">
            <v>COOPROSPERANDO JUNTOS</v>
          </cell>
          <cell r="AL267" t="str">
            <v>Transcripción</v>
          </cell>
          <cell r="AM267" t="str">
            <v>COOPROSPERANDO JUNTOS</v>
          </cell>
          <cell r="AN267">
            <v>160000</v>
          </cell>
          <cell r="AO267" t="str">
            <v>Precio sin Iva</v>
          </cell>
          <cell r="AP267" t="str">
            <v>Si tiene IVA</v>
          </cell>
          <cell r="AQ267">
            <v>160000</v>
          </cell>
          <cell r="AR267">
            <v>30400</v>
          </cell>
          <cell r="AS267">
            <v>190400</v>
          </cell>
          <cell r="AT267">
            <v>480000</v>
          </cell>
          <cell r="AU267">
            <v>571200</v>
          </cell>
          <cell r="AV267">
            <v>170567</v>
          </cell>
          <cell r="AW267">
            <v>511701</v>
          </cell>
          <cell r="AX267">
            <v>74315</v>
          </cell>
          <cell r="AY267">
            <v>0.1452</v>
          </cell>
        </row>
        <row r="268">
          <cell r="D268" t="str">
            <v>Silla plegable</v>
          </cell>
          <cell r="E268" t="str">
            <v xml:space="preserve">Silla plegable color negro Altura x Ancho : mínimo 75cm X  mínimo 45 cm  Profundidad: mínimo 45 cm Soporte mínimo de 100 kgEstructura metálica en acero. </v>
          </cell>
          <cell r="F268" t="str">
            <v>Unidad</v>
          </cell>
          <cell r="G268">
            <v>20</v>
          </cell>
          <cell r="H268" t="str">
            <v>Compra</v>
          </cell>
          <cell r="I268" t="str">
            <v>Michael Bautista</v>
          </cell>
          <cell r="J268">
            <v>46218</v>
          </cell>
          <cell r="K268" t="str">
            <v>SILLAPLEGABLE_FALABELLA.pdf</v>
          </cell>
          <cell r="L268" t="str">
            <v>Gestión</v>
          </cell>
          <cell r="M268" t="str">
            <v>FALABELLA</v>
          </cell>
          <cell r="N268">
            <v>79000</v>
          </cell>
          <cell r="O268" t="str">
            <v>IVA incluido</v>
          </cell>
          <cell r="P268" t="str">
            <v>Si tiene IVA</v>
          </cell>
          <cell r="Q268">
            <v>66386.55</v>
          </cell>
          <cell r="R268">
            <v>12613</v>
          </cell>
          <cell r="S268">
            <v>79000</v>
          </cell>
          <cell r="T268">
            <v>1327731</v>
          </cell>
          <cell r="U268">
            <v>1580000</v>
          </cell>
          <cell r="V268" t="str">
            <v>Michael Bautista</v>
          </cell>
          <cell r="W268">
            <v>46218</v>
          </cell>
          <cell r="X268" t="str">
            <v>SILLAPLEGABLE_HOMECENTER.pdf</v>
          </cell>
          <cell r="Y268" t="str">
            <v>Gestión</v>
          </cell>
          <cell r="Z268" t="str">
            <v>HOMECENTER</v>
          </cell>
          <cell r="AA268">
            <v>79000</v>
          </cell>
          <cell r="AB268" t="str">
            <v>IVA incluido</v>
          </cell>
          <cell r="AC268" t="str">
            <v>Si tiene IVA</v>
          </cell>
          <cell r="AD268">
            <v>66386.55</v>
          </cell>
          <cell r="AE268">
            <v>12613</v>
          </cell>
          <cell r="AF268">
            <v>79000</v>
          </cell>
          <cell r="AG268">
            <v>1327731</v>
          </cell>
          <cell r="AH268">
            <v>1580000</v>
          </cell>
          <cell r="AI268" t="str">
            <v>Michael Bautista</v>
          </cell>
          <cell r="AJ268">
            <v>46218</v>
          </cell>
          <cell r="AK268" t="str">
            <v>SILLAPLEGABLE_EASY.pdf</v>
          </cell>
          <cell r="AL268" t="str">
            <v>Gestión</v>
          </cell>
          <cell r="AM268" t="str">
            <v>EASY</v>
          </cell>
          <cell r="AN268">
            <v>79000</v>
          </cell>
          <cell r="AO268" t="str">
            <v>IVA incluido</v>
          </cell>
          <cell r="AP268" t="str">
            <v>Si tiene IVA</v>
          </cell>
          <cell r="AQ268">
            <v>66386.55</v>
          </cell>
          <cell r="AR268">
            <v>12613</v>
          </cell>
          <cell r="AS268">
            <v>79000</v>
          </cell>
          <cell r="AT268">
            <v>1327731</v>
          </cell>
          <cell r="AU268">
            <v>1580000</v>
          </cell>
          <cell r="AV268">
            <v>79000</v>
          </cell>
          <cell r="AW268">
            <v>1580000</v>
          </cell>
          <cell r="AX268">
            <v>0</v>
          </cell>
          <cell r="AY268">
            <v>0</v>
          </cell>
        </row>
        <row r="269">
          <cell r="D269" t="str">
            <v>Carpas 3x3 estructura metálica calibre 18</v>
          </cell>
          <cell r="E269" t="str">
            <v>Carpa 3X3  Desarmable, estructura metálica cuadrada calibre 18 de 1 pulgada cuadrado, patas cuadradas de pulgada y media calibre 18 con flances anchos 10x10 para mayor estabilidad, soldadura mig sellada y pintada en electrostática. Impermeable plástico a base de PVC, flexible texturizado 100% durabilidad de color rojo con 4 laterales y una ventanilla en la parte posterior. Entregada con estuche o forro de almacenamiento.</v>
          </cell>
          <cell r="F269" t="str">
            <v>Unidad</v>
          </cell>
          <cell r="G269">
            <v>19</v>
          </cell>
          <cell r="H269" t="str">
            <v>Compra</v>
          </cell>
          <cell r="I269" t="str">
            <v>Michael Bautista</v>
          </cell>
          <cell r="J269">
            <v>46224</v>
          </cell>
          <cell r="K269" t="str">
            <v>CARPASLEON.pdf</v>
          </cell>
          <cell r="L269" t="str">
            <v>Gestión</v>
          </cell>
          <cell r="M269" t="str">
            <v>CARPAS LEON</v>
          </cell>
          <cell r="N269">
            <v>2230000</v>
          </cell>
          <cell r="O269" t="str">
            <v>Precio sin Iva</v>
          </cell>
          <cell r="P269" t="str">
            <v>Si tiene IVA</v>
          </cell>
          <cell r="Q269">
            <v>2230000</v>
          </cell>
          <cell r="R269">
            <v>423700</v>
          </cell>
          <cell r="S269">
            <v>2653700</v>
          </cell>
          <cell r="T269">
            <v>42370000</v>
          </cell>
          <cell r="U269">
            <v>50420300</v>
          </cell>
          <cell r="V269" t="str">
            <v>Michael Bautista</v>
          </cell>
          <cell r="W269">
            <v>46225</v>
          </cell>
          <cell r="X269" t="str">
            <v>CARPASEINGENIERIA.pdf</v>
          </cell>
          <cell r="Y269" t="str">
            <v>Gestión</v>
          </cell>
          <cell r="Z269" t="str">
            <v>CARPAS E INGENIERIA</v>
          </cell>
          <cell r="AA269">
            <v>2220000</v>
          </cell>
          <cell r="AB269" t="str">
            <v>Precio sin Iva</v>
          </cell>
          <cell r="AC269" t="str">
            <v>Si tiene IVA</v>
          </cell>
          <cell r="AD269">
            <v>2220000</v>
          </cell>
          <cell r="AE269">
            <v>421800</v>
          </cell>
          <cell r="AF269">
            <v>2641800</v>
          </cell>
          <cell r="AG269">
            <v>42180000</v>
          </cell>
          <cell r="AH269">
            <v>50194200</v>
          </cell>
          <cell r="AI269" t="str">
            <v>Michael Bautista</v>
          </cell>
          <cell r="AJ269">
            <v>46225</v>
          </cell>
          <cell r="AK269" t="str">
            <v>NACIONALDECARPRAS3X3.pdf</v>
          </cell>
          <cell r="AL269" t="str">
            <v>Gestión</v>
          </cell>
          <cell r="AM269" t="str">
            <v>NACIONAL DE CARPAS</v>
          </cell>
          <cell r="AN269">
            <v>2302000</v>
          </cell>
          <cell r="AO269" t="str">
            <v>Precio sin Iva</v>
          </cell>
          <cell r="AP269" t="str">
            <v>Si tiene IVA</v>
          </cell>
          <cell r="AQ269">
            <v>2302000</v>
          </cell>
          <cell r="AR269">
            <v>437380</v>
          </cell>
          <cell r="AS269">
            <v>2739380</v>
          </cell>
          <cell r="AT269">
            <v>43738000</v>
          </cell>
          <cell r="AU269">
            <v>52048220</v>
          </cell>
          <cell r="AV269">
            <v>2678293</v>
          </cell>
          <cell r="AW269">
            <v>50887567</v>
          </cell>
          <cell r="AX269">
            <v>1011487</v>
          </cell>
          <cell r="AY269">
            <v>1.9900000000000001E-2</v>
          </cell>
        </row>
        <row r="270">
          <cell r="D270" t="str">
            <v xml:space="preserve">Mesa portafolio plegable </v>
          </cell>
          <cell r="E270" t="str">
            <v>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v>
          </cell>
          <cell r="F270" t="str">
            <v>Unidad</v>
          </cell>
          <cell r="G270">
            <v>60</v>
          </cell>
          <cell r="H270" t="str">
            <v>Compra</v>
          </cell>
          <cell r="I270" t="str">
            <v>Michael Bautista</v>
          </cell>
          <cell r="J270">
            <v>46217</v>
          </cell>
          <cell r="K270" t="str">
            <v>MESAPEGABLE_FALABELLA.pdf</v>
          </cell>
          <cell r="L270" t="str">
            <v>Gestión</v>
          </cell>
          <cell r="M270" t="str">
            <v>FALABELLA</v>
          </cell>
          <cell r="N270">
            <v>179900</v>
          </cell>
          <cell r="O270" t="str">
            <v>IVA incluido</v>
          </cell>
          <cell r="P270" t="str">
            <v>Si tiene IVA</v>
          </cell>
          <cell r="Q270">
            <v>151176.47</v>
          </cell>
          <cell r="R270">
            <v>28724</v>
          </cell>
          <cell r="S270">
            <v>179900</v>
          </cell>
          <cell r="T270">
            <v>9070588</v>
          </cell>
          <cell r="U270">
            <v>10794000</v>
          </cell>
          <cell r="V270" t="str">
            <v>Michael Bautista</v>
          </cell>
          <cell r="W270">
            <v>46217</v>
          </cell>
          <cell r="X270" t="str">
            <v>MESAPEGABLE_HOMECENTER.pdf</v>
          </cell>
          <cell r="Y270" t="str">
            <v>Gestión</v>
          </cell>
          <cell r="Z270" t="str">
            <v>HOMECENTER</v>
          </cell>
          <cell r="AA270">
            <v>179900</v>
          </cell>
          <cell r="AB270" t="str">
            <v>IVA incluido</v>
          </cell>
          <cell r="AC270" t="str">
            <v>Si tiene IVA</v>
          </cell>
          <cell r="AD270">
            <v>151176.47</v>
          </cell>
          <cell r="AE270">
            <v>28724</v>
          </cell>
          <cell r="AF270">
            <v>179900</v>
          </cell>
          <cell r="AG270">
            <v>9070588</v>
          </cell>
          <cell r="AH270">
            <v>10794000</v>
          </cell>
          <cell r="AI270" t="str">
            <v>Michael Bautista</v>
          </cell>
          <cell r="AJ270">
            <v>46217</v>
          </cell>
          <cell r="AK270" t="str">
            <v>MESAPEGABLE_PLASTIHOGAR.pdf</v>
          </cell>
          <cell r="AL270" t="str">
            <v>Gestión</v>
          </cell>
          <cell r="AM270" t="str">
            <v>PLASTIHOGAR</v>
          </cell>
          <cell r="AN270">
            <v>189900</v>
          </cell>
          <cell r="AO270" t="str">
            <v>IVA incluido</v>
          </cell>
          <cell r="AP270" t="str">
            <v>Si tiene IVA</v>
          </cell>
          <cell r="AQ270">
            <v>159579.82999999999</v>
          </cell>
          <cell r="AR270">
            <v>30320</v>
          </cell>
          <cell r="AS270">
            <v>189900</v>
          </cell>
          <cell r="AT270">
            <v>9574790</v>
          </cell>
          <cell r="AU270">
            <v>11394000</v>
          </cell>
          <cell r="AV270">
            <v>183233</v>
          </cell>
          <cell r="AW270">
            <v>10993980</v>
          </cell>
          <cell r="AX270">
            <v>346410</v>
          </cell>
          <cell r="AY270">
            <v>3.15E-2</v>
          </cell>
        </row>
        <row r="271">
          <cell r="D271" t="str">
            <v>Mesa de escritorio</v>
          </cell>
          <cell r="E271" t="str">
            <v>Escritorio administrativo recto para actividades de gestión organizacional y trabajo de oficina. Fabricado en tablero aglomerado melamínico, MDP, MFC o material equivalente de alta resistencia, con espesor mínimo de quince (15) mm. Deberá contar con módulo de almacenamiento integrado o independiente con mínimo tres (3) gavetas y sistema de cierre mediante llave. Dimensiones mínimas de la superficie principal de ciento veinte (120) centímetros de ancho por cincuenta (50) centímetros de fondo. Altura entre setenta (70) y setenta y cinco (75) centímetros. Color negro, gris, wengué, nogal o similar de uso institucional.</v>
          </cell>
          <cell r="F271" t="str">
            <v>Unidad</v>
          </cell>
          <cell r="G271">
            <v>4</v>
          </cell>
          <cell r="H271" t="str">
            <v>Compra</v>
          </cell>
          <cell r="I271" t="str">
            <v>Michael Bautista</v>
          </cell>
          <cell r="J271">
            <v>46231</v>
          </cell>
          <cell r="K271" t="str">
            <v>Armodular_mesaescritorio.pdf</v>
          </cell>
          <cell r="L271" t="str">
            <v>Transcripción</v>
          </cell>
          <cell r="M271" t="str">
            <v>ALMODULAR</v>
          </cell>
          <cell r="N271">
            <v>613000</v>
          </cell>
          <cell r="O271" t="str">
            <v>IVA incluido</v>
          </cell>
          <cell r="P271" t="str">
            <v>Si tiene IVA</v>
          </cell>
          <cell r="Q271">
            <v>515126.05</v>
          </cell>
          <cell r="R271">
            <v>97874</v>
          </cell>
          <cell r="S271">
            <v>613000</v>
          </cell>
          <cell r="T271">
            <v>2060504</v>
          </cell>
          <cell r="U271">
            <v>2452000</v>
          </cell>
          <cell r="V271" t="str">
            <v>Michael Bautista</v>
          </cell>
          <cell r="W271">
            <v>46217</v>
          </cell>
          <cell r="X271" t="str">
            <v>ESCRITORIO_ALKOSTO.pdf</v>
          </cell>
          <cell r="Y271" t="str">
            <v>Transcripción</v>
          </cell>
          <cell r="Z271" t="str">
            <v>ALKOSTO</v>
          </cell>
          <cell r="AA271">
            <v>519900</v>
          </cell>
          <cell r="AB271" t="str">
            <v>IVA incluido</v>
          </cell>
          <cell r="AC271" t="str">
            <v>Si tiene IVA</v>
          </cell>
          <cell r="AD271">
            <v>436890.76</v>
          </cell>
          <cell r="AE271">
            <v>83009</v>
          </cell>
          <cell r="AF271">
            <v>519900</v>
          </cell>
          <cell r="AG271">
            <v>1747563</v>
          </cell>
          <cell r="AH271">
            <v>2079600</v>
          </cell>
          <cell r="AI271" t="str">
            <v>Michael Bautista</v>
          </cell>
          <cell r="AJ271">
            <v>46217</v>
          </cell>
          <cell r="AK271" t="str">
            <v>ESCRITORIO_HOMECENTER.pdf</v>
          </cell>
          <cell r="AL271" t="str">
            <v>Gestión</v>
          </cell>
          <cell r="AM271" t="str">
            <v>HOMECENTER</v>
          </cell>
          <cell r="AN271">
            <v>419000</v>
          </cell>
          <cell r="AO271" t="str">
            <v>IVA incluido</v>
          </cell>
          <cell r="AP271" t="str">
            <v>Si tiene IVA</v>
          </cell>
          <cell r="AQ271">
            <v>352100.84</v>
          </cell>
          <cell r="AR271">
            <v>66899</v>
          </cell>
          <cell r="AS271">
            <v>419000</v>
          </cell>
          <cell r="AT271">
            <v>1408403</v>
          </cell>
          <cell r="AU271">
            <v>1676000</v>
          </cell>
          <cell r="AV271">
            <v>517300</v>
          </cell>
          <cell r="AW271">
            <v>2069200</v>
          </cell>
          <cell r="AX271">
            <v>388105</v>
          </cell>
          <cell r="AY271">
            <v>0.18759999999999999</v>
          </cell>
        </row>
        <row r="272">
          <cell r="D272" t="str">
            <v xml:space="preserve">Silla Ergonómica de escritorio </v>
          </cell>
          <cell r="E272" t="str">
            <v>Silla ergonómica para uso administrativo y directivo, color negro. Espaldar en malla o material transpirable de alta resistencia, con soporte lumbar ajustable o integrado que favorezca la postura durante jornadas prolongadas de trabajo. Cabecero ajustable. Asiento tapizado en tela, paño o material equivalente de alta resistencia, con espuma de confort apta para uso frecuente. Deberá contar con apoyabrazos ajustables en altura o con características ergonómicas equivalentes. Mecanismo de reclinación o basculación del espaldar con posibilidad de bloqueo en posición de trabajo y ajuste de tensión cuando aplique según la referencia ofertada. Ajuste de altura mediante pistón neumático a gas. Base de cinco (5) aspas fabricada en nylon reforzado, acero o material equivalente de alta resistencia, con rodachinas para desplazamiento.  Capacidad mínima de carga de ciento diez (110) kilogramos. Garantía mínima de un (1) año.</v>
          </cell>
          <cell r="F272" t="str">
            <v>Unidad</v>
          </cell>
          <cell r="G272">
            <v>8</v>
          </cell>
          <cell r="H272" t="str">
            <v>Compra</v>
          </cell>
          <cell r="I272" t="str">
            <v>Luz Jimenez</v>
          </cell>
          <cell r="J272">
            <v>46204</v>
          </cell>
          <cell r="K272" t="str">
            <v>Silla de Oficina Presidente Doha Basculante – Ergonomus CO.pdf</v>
          </cell>
          <cell r="L272" t="str">
            <v>Gestión</v>
          </cell>
          <cell r="M272" t="str">
            <v>ERGONOMUS</v>
          </cell>
          <cell r="N272">
            <v>449900</v>
          </cell>
          <cell r="O272" t="str">
            <v>IVA incluido</v>
          </cell>
          <cell r="P272" t="str">
            <v>Si tiene IVA</v>
          </cell>
          <cell r="Q272">
            <v>378067.23</v>
          </cell>
          <cell r="R272">
            <v>71833</v>
          </cell>
          <cell r="S272">
            <v>449900</v>
          </cell>
          <cell r="T272">
            <v>3024538</v>
          </cell>
          <cell r="U272">
            <v>3599200</v>
          </cell>
          <cell r="V272" t="str">
            <v>Luz Jimenez</v>
          </cell>
          <cell r="W272">
            <v>46204</v>
          </cell>
          <cell r="X272" t="str">
            <v>Silla de Oficina Ergonomus Presidente Doha Basculante Negra ERGONOMUS _ Falabella Colombia.pdf</v>
          </cell>
          <cell r="Y272" t="str">
            <v>Gestión</v>
          </cell>
          <cell r="Z272" t="str">
            <v>FALABELLA</v>
          </cell>
          <cell r="AA272">
            <v>349900</v>
          </cell>
          <cell r="AB272" t="str">
            <v>IVA incluido</v>
          </cell>
          <cell r="AC272" t="str">
            <v>Si tiene IVA</v>
          </cell>
          <cell r="AD272">
            <v>294033.61</v>
          </cell>
          <cell r="AE272">
            <v>55866</v>
          </cell>
          <cell r="AF272">
            <v>349900</v>
          </cell>
          <cell r="AG272">
            <v>2352269</v>
          </cell>
          <cell r="AH272">
            <v>2799200</v>
          </cell>
          <cell r="AI272" t="str">
            <v>Luz Jimenez</v>
          </cell>
          <cell r="AJ272">
            <v>46204</v>
          </cell>
          <cell r="AK272" t="str">
            <v>Silla ergonomica economica KAO Económica, Cómoda y Ajustable.pdf</v>
          </cell>
          <cell r="AL272" t="str">
            <v>Gestión</v>
          </cell>
          <cell r="AM272" t="str">
            <v>KAO</v>
          </cell>
          <cell r="AN272">
            <v>399900</v>
          </cell>
          <cell r="AO272" t="str">
            <v>IVA incluido</v>
          </cell>
          <cell r="AP272" t="str">
            <v>Si tiene IVA</v>
          </cell>
          <cell r="AQ272">
            <v>336050.42</v>
          </cell>
          <cell r="AR272">
            <v>63850</v>
          </cell>
          <cell r="AS272">
            <v>399900</v>
          </cell>
          <cell r="AT272">
            <v>2688403</v>
          </cell>
          <cell r="AU272">
            <v>3199200</v>
          </cell>
          <cell r="AV272">
            <v>399900</v>
          </cell>
          <cell r="AW272">
            <v>3199200</v>
          </cell>
          <cell r="AX272">
            <v>400000</v>
          </cell>
          <cell r="AY272">
            <v>0.125</v>
          </cell>
        </row>
        <row r="273">
          <cell r="D273" t="str">
            <v xml:space="preserve">Silla plástica sin brazos </v>
          </cell>
          <cell r="E273" t="str">
            <v xml:space="preserve">Silla plástica sin brazos de polipropileno color blanco, apilable.Resistencia de 130 kg. Alto entre 85 a 89 cm.  Ancho entre 52 a 54 cm.  </v>
          </cell>
          <cell r="F273" t="str">
            <v>Unidad</v>
          </cell>
          <cell r="G273">
            <v>500</v>
          </cell>
          <cell r="H273" t="str">
            <v>Compra</v>
          </cell>
          <cell r="I273" t="str">
            <v>Michael Bautista</v>
          </cell>
          <cell r="J273">
            <v>46217</v>
          </cell>
          <cell r="K273" t="str">
            <v>SILLASINBRAZOS_EXITO.pdf</v>
          </cell>
          <cell r="L273" t="str">
            <v>Gestión</v>
          </cell>
          <cell r="M273" t="str">
            <v>EXITO</v>
          </cell>
          <cell r="N273">
            <v>44900</v>
          </cell>
          <cell r="O273" t="str">
            <v>IVA incluido</v>
          </cell>
          <cell r="P273" t="str">
            <v>Si tiene IVA</v>
          </cell>
          <cell r="Q273">
            <v>37731.089999999997</v>
          </cell>
          <cell r="R273">
            <v>7169</v>
          </cell>
          <cell r="S273">
            <v>44900</v>
          </cell>
          <cell r="T273">
            <v>18865546</v>
          </cell>
          <cell r="U273">
            <v>22450000</v>
          </cell>
          <cell r="V273" t="str">
            <v>Michael Bautista</v>
          </cell>
          <cell r="W273">
            <v>46217</v>
          </cell>
          <cell r="X273" t="str">
            <v>SILLASINBRAZOS_VANIPLAS.pdf</v>
          </cell>
          <cell r="Y273" t="str">
            <v>Gestión</v>
          </cell>
          <cell r="Z273" t="str">
            <v>VANYPLAS</v>
          </cell>
          <cell r="AA273">
            <v>51200</v>
          </cell>
          <cell r="AB273" t="str">
            <v>IVA incluido</v>
          </cell>
          <cell r="AC273" t="str">
            <v>Si tiene IVA</v>
          </cell>
          <cell r="AD273">
            <v>43025.21</v>
          </cell>
          <cell r="AE273">
            <v>8175</v>
          </cell>
          <cell r="AF273">
            <v>51200</v>
          </cell>
          <cell r="AG273">
            <v>21512605</v>
          </cell>
          <cell r="AH273">
            <v>25600000</v>
          </cell>
          <cell r="AI273" t="str">
            <v>Michael Bautista</v>
          </cell>
          <cell r="AJ273">
            <v>46217</v>
          </cell>
          <cell r="AK273" t="str">
            <v>SILLASINBRAZOS_PLASTIHOGAR.pdf</v>
          </cell>
          <cell r="AL273" t="str">
            <v>Gestión</v>
          </cell>
          <cell r="AM273" t="str">
            <v>PLASTIHOGAR</v>
          </cell>
          <cell r="AN273">
            <v>39900</v>
          </cell>
          <cell r="AO273" t="str">
            <v>IVA incluido</v>
          </cell>
          <cell r="AP273" t="str">
            <v>Si tiene IVA</v>
          </cell>
          <cell r="AQ273">
            <v>33529.410000000003</v>
          </cell>
          <cell r="AR273">
            <v>6371</v>
          </cell>
          <cell r="AS273">
            <v>39900</v>
          </cell>
          <cell r="AT273">
            <v>16764706</v>
          </cell>
          <cell r="AU273">
            <v>19950000</v>
          </cell>
          <cell r="AV273">
            <v>45333</v>
          </cell>
          <cell r="AW273">
            <v>22666500</v>
          </cell>
          <cell r="AX273">
            <v>2831225</v>
          </cell>
          <cell r="AY273">
            <v>0.1249</v>
          </cell>
        </row>
        <row r="274">
          <cell r="D274" t="str">
            <v>Tablero acrílico 120 x 80 cm</v>
          </cell>
          <cell r="E274" t="str">
            <v>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v>
          </cell>
          <cell r="F274" t="str">
            <v>Unidad</v>
          </cell>
          <cell r="G274">
            <v>5</v>
          </cell>
          <cell r="H274" t="str">
            <v>Compra</v>
          </cell>
          <cell r="I274" t="str">
            <v>Michael Bautista</v>
          </cell>
          <cell r="J274">
            <v>46217</v>
          </cell>
          <cell r="K274" t="str">
            <v>TABLEROACRILICO_FALABELLA.pdf</v>
          </cell>
          <cell r="L274" t="str">
            <v>Gestión</v>
          </cell>
          <cell r="M274" t="str">
            <v>FALABELLA</v>
          </cell>
          <cell r="N274">
            <v>280000</v>
          </cell>
          <cell r="O274" t="str">
            <v>IVA incluido</v>
          </cell>
          <cell r="P274" t="str">
            <v>Si tiene IVA</v>
          </cell>
          <cell r="Q274">
            <v>235294.12</v>
          </cell>
          <cell r="R274">
            <v>44706</v>
          </cell>
          <cell r="S274">
            <v>280000</v>
          </cell>
          <cell r="T274">
            <v>1176471</v>
          </cell>
          <cell r="U274">
            <v>1400000</v>
          </cell>
          <cell r="V274" t="str">
            <v>Michael Bautista</v>
          </cell>
          <cell r="W274">
            <v>46217</v>
          </cell>
          <cell r="X274" t="str">
            <v>TABLEROACRILICO_PANAMERICANA.pdf</v>
          </cell>
          <cell r="Y274" t="str">
            <v>Transcripción</v>
          </cell>
          <cell r="Z274" t="str">
            <v>PANAMERICANA</v>
          </cell>
          <cell r="AA274">
            <v>229900</v>
          </cell>
          <cell r="AB274" t="str">
            <v>IVA incluido</v>
          </cell>
          <cell r="AC274" t="str">
            <v>Si tiene IVA</v>
          </cell>
          <cell r="AD274">
            <v>193193.28</v>
          </cell>
          <cell r="AE274">
            <v>36707</v>
          </cell>
          <cell r="AF274">
            <v>229900</v>
          </cell>
          <cell r="AG274">
            <v>965966</v>
          </cell>
          <cell r="AH274">
            <v>1149500</v>
          </cell>
          <cell r="AI274" t="str">
            <v>Michael Bautista</v>
          </cell>
          <cell r="AJ274">
            <v>46217</v>
          </cell>
          <cell r="AK274" t="str">
            <v>TABLEROACRILICO_HOMECENTER.pdf</v>
          </cell>
          <cell r="AL274" t="str">
            <v>Transcripción</v>
          </cell>
          <cell r="AM274" t="str">
            <v>HOMECENTER</v>
          </cell>
          <cell r="AN274">
            <v>284900</v>
          </cell>
          <cell r="AO274" t="str">
            <v>IVA incluido</v>
          </cell>
          <cell r="AP274" t="str">
            <v>Si tiene IVA</v>
          </cell>
          <cell r="AQ274">
            <v>239411.76</v>
          </cell>
          <cell r="AR274">
            <v>45488</v>
          </cell>
          <cell r="AS274">
            <v>284900</v>
          </cell>
          <cell r="AT274">
            <v>1197059</v>
          </cell>
          <cell r="AU274">
            <v>1424500</v>
          </cell>
          <cell r="AV274">
            <v>264933</v>
          </cell>
          <cell r="AW274">
            <v>1324665</v>
          </cell>
          <cell r="AX274">
            <v>152193</v>
          </cell>
          <cell r="AY274">
            <v>0.1149</v>
          </cell>
        </row>
        <row r="275">
          <cell r="D275" t="str">
            <v>Cabina de sonido</v>
          </cell>
          <cell r="E275" t="str">
            <v>Cabina de sonido activa (potenciada) de dos vías, con altavoz de mínimo quince (15) pulgadas, carcasa en ABS o material equivalente de alta resistencia con rejilla metálica de protección, conectividad Bluetooth, radio FM, puertos USB y SD, entrada auxiliar y mínimo una (1) entrada para micrófono. Potencia mínima de salida de ciento veinte (120) Watts RMS o superior, o equivalente según las especificaciones del fabricante. Alimentación eléctrica 110V–120V / 60Hz. Vida útil esperada mínima de cinco (5) años bajo condiciones normales de uso. Incluye trípode ajustable que soporte el peso de la cabina, al menos un (1) micrófono, cable de alimentación.</v>
          </cell>
          <cell r="F275" t="str">
            <v>Unidad</v>
          </cell>
          <cell r="G275">
            <v>12</v>
          </cell>
          <cell r="H275" t="str">
            <v>Compra</v>
          </cell>
          <cell r="I275" t="str">
            <v>Michael Bautista</v>
          </cell>
          <cell r="J275">
            <v>46224</v>
          </cell>
          <cell r="K275" t="str">
            <v>CABINATRIPODE_SUPERAUDIO.pdf</v>
          </cell>
          <cell r="L275" t="str">
            <v>Gestión</v>
          </cell>
          <cell r="M275" t="str">
            <v>SUPERAUDIO</v>
          </cell>
          <cell r="N275">
            <v>540000</v>
          </cell>
          <cell r="O275" t="str">
            <v>IVA incluido</v>
          </cell>
          <cell r="P275" t="str">
            <v>Si tiene IVA</v>
          </cell>
          <cell r="Q275">
            <v>453781.51</v>
          </cell>
          <cell r="R275">
            <v>86218</v>
          </cell>
          <cell r="S275">
            <v>540000</v>
          </cell>
          <cell r="T275">
            <v>5445378</v>
          </cell>
          <cell r="U275">
            <v>6480000</v>
          </cell>
          <cell r="V275" t="str">
            <v>Michael Bautista</v>
          </cell>
          <cell r="W275">
            <v>46224</v>
          </cell>
          <cell r="X275" t="str">
            <v>CABINATRIPODE_FALABELLA.pdf</v>
          </cell>
          <cell r="Y275" t="str">
            <v>Gestión</v>
          </cell>
          <cell r="Z275" t="str">
            <v>FALABELLA</v>
          </cell>
          <cell r="AA275">
            <v>608000</v>
          </cell>
          <cell r="AB275" t="str">
            <v>IVA incluido</v>
          </cell>
          <cell r="AC275" t="str">
            <v>Si tiene IVA</v>
          </cell>
          <cell r="AD275">
            <v>510924.37</v>
          </cell>
          <cell r="AE275">
            <v>97076</v>
          </cell>
          <cell r="AF275">
            <v>608000</v>
          </cell>
          <cell r="AG275">
            <v>6131092</v>
          </cell>
          <cell r="AH275">
            <v>7296000</v>
          </cell>
          <cell r="AI275" t="str">
            <v>Michael Bautista</v>
          </cell>
          <cell r="AJ275">
            <v>46224</v>
          </cell>
          <cell r="AK275" t="str">
            <v>CABINATRIPODE_MUSICBOX.pdf</v>
          </cell>
          <cell r="AL275" t="str">
            <v>Gestión</v>
          </cell>
          <cell r="AM275" t="str">
            <v>MUSIBOX</v>
          </cell>
          <cell r="AN275">
            <v>608000</v>
          </cell>
          <cell r="AO275" t="str">
            <v>IVA incluido</v>
          </cell>
          <cell r="AP275" t="str">
            <v>Si tiene IVA</v>
          </cell>
          <cell r="AQ275">
            <v>510924.37</v>
          </cell>
          <cell r="AR275">
            <v>97076</v>
          </cell>
          <cell r="AS275">
            <v>608000</v>
          </cell>
          <cell r="AT275">
            <v>6131092</v>
          </cell>
          <cell r="AU275">
            <v>7296000</v>
          </cell>
          <cell r="AV275">
            <v>585333</v>
          </cell>
          <cell r="AW275">
            <v>7023996</v>
          </cell>
          <cell r="AX275">
            <v>471118</v>
          </cell>
          <cell r="AY275">
            <v>6.7100000000000007E-2</v>
          </cell>
        </row>
        <row r="276">
          <cell r="D276" t="str">
            <v>Impresora Multifuncional</v>
          </cell>
          <cell r="E276" t="str">
            <v xml:space="preserve">Función: impresora, copiadora y escáner   Tipo de impresora: inyección de tinta por sistema de tanque continuo original de fábrica, Conexión: estándar USB,  Resolución de impresión: mínimo de 4800 x 1200 dpi o superior, Velocidad de impresión en blanco y negro: mínimo 22 ppm en blanco y negro.  Velocidad de impresión a color: mímino 15 ppm, Dimensiones: diseño compacto de escritorio que se adapte a espacios redcidos. Incluídas tinta de prueba, Tamaño de impresión: soporte para tamaño Carta, Oficio (Legal) y A4, Capacidad de carga: al menos 50 hojas,  Peso:  compacto peso no superior a 5 kg, Color: negro. </v>
          </cell>
          <cell r="F276" t="str">
            <v>Unidad</v>
          </cell>
          <cell r="G276">
            <v>4</v>
          </cell>
          <cell r="H276" t="str">
            <v>Compra</v>
          </cell>
          <cell r="I276" t="str">
            <v>Michael Bautista</v>
          </cell>
          <cell r="J276">
            <v>46217</v>
          </cell>
          <cell r="K276" t="str">
            <v>IMPRESORAM_COMPUTADORESBTA.pdf</v>
          </cell>
          <cell r="L276" t="str">
            <v>Gestión</v>
          </cell>
          <cell r="M276" t="str">
            <v>COMPUTADORES BOGOTA</v>
          </cell>
          <cell r="N276">
            <v>973750</v>
          </cell>
          <cell r="O276" t="str">
            <v>IVA incluido</v>
          </cell>
          <cell r="P276" t="str">
            <v>Si tiene IVA</v>
          </cell>
          <cell r="Q276">
            <v>818277.31</v>
          </cell>
          <cell r="R276">
            <v>155473</v>
          </cell>
          <cell r="S276">
            <v>973750</v>
          </cell>
          <cell r="T276">
            <v>3273109</v>
          </cell>
          <cell r="U276">
            <v>3895000</v>
          </cell>
          <cell r="V276" t="str">
            <v>Michael Bautista</v>
          </cell>
          <cell r="W276">
            <v>46217</v>
          </cell>
          <cell r="X276" t="str">
            <v>IMPRESORAM_OLIMPICA.pdf</v>
          </cell>
          <cell r="Y276" t="str">
            <v>Gestión</v>
          </cell>
          <cell r="Z276" t="str">
            <v>OLIMPICA</v>
          </cell>
          <cell r="AA276">
            <v>1050000</v>
          </cell>
          <cell r="AB276" t="str">
            <v>IVA incluido</v>
          </cell>
          <cell r="AC276" t="str">
            <v>Si tiene IVA</v>
          </cell>
          <cell r="AD276">
            <v>882352.94</v>
          </cell>
          <cell r="AE276">
            <v>167647</v>
          </cell>
          <cell r="AF276">
            <v>1050000</v>
          </cell>
          <cell r="AG276">
            <v>3529412</v>
          </cell>
          <cell r="AH276">
            <v>4200000</v>
          </cell>
          <cell r="AI276" t="str">
            <v>Michael Bautista</v>
          </cell>
          <cell r="AJ276">
            <v>46217</v>
          </cell>
          <cell r="AK276" t="str">
            <v>IMPRESORAM_KTRONIX.pdf</v>
          </cell>
          <cell r="AL276" t="str">
            <v>Gestión</v>
          </cell>
          <cell r="AM276" t="str">
            <v>KTRONIX</v>
          </cell>
          <cell r="AN276">
            <v>1149000</v>
          </cell>
          <cell r="AO276" t="str">
            <v>IVA incluido</v>
          </cell>
          <cell r="AP276" t="str">
            <v>Si tiene IVA</v>
          </cell>
          <cell r="AQ276">
            <v>965546.22</v>
          </cell>
          <cell r="AR276">
            <v>183454</v>
          </cell>
          <cell r="AS276">
            <v>1149000</v>
          </cell>
          <cell r="AT276">
            <v>3862185</v>
          </cell>
          <cell r="AU276">
            <v>4596000</v>
          </cell>
          <cell r="AV276">
            <v>1057583</v>
          </cell>
          <cell r="AW276">
            <v>4230332</v>
          </cell>
          <cell r="AX276">
            <v>351483</v>
          </cell>
          <cell r="AY276">
            <v>8.3099999999999993E-2</v>
          </cell>
        </row>
        <row r="277">
          <cell r="D277" t="str">
            <v>Computador Portátil</v>
          </cell>
          <cell r="E277" t="str">
            <v>Procesador: De última o reciente generación, orientado a productividad y trabajo multitarea, con rendimiento equivalente o superior a un procesador AMD Ryzen 5 serie 7000 o Intel Core i5 de 12ª generación (o superior) Memoria RAM: Mínimo 16 GB Almacenamiento: Unidad de estado sólido (SSD) mínimo 512 GB tipo NVMe Pantalla: Tamaño mínimo 15 pulgadas - Resolución mínima Full HD (1920 x 1080) Gráficos: integrados compatibles con resolución Full HD y aplicaciones ofimáticas, videoconferencias y navegación web. Sistema operativo: Sistema operativo Microsoft Windows de 64 bits preinstalado y licenciado. Conectividad: Wi-Fi y Bluetooth integrados Puertos mínimos: 2 puertos USB - 1 puerto HDMI - 1 puerto de audio Batería: Autonomía mínima de 5 horas en uso estándar.</v>
          </cell>
          <cell r="F277" t="str">
            <v>Unidad</v>
          </cell>
          <cell r="G277">
            <v>14</v>
          </cell>
          <cell r="H277" t="str">
            <v>Compra</v>
          </cell>
          <cell r="I277" t="str">
            <v>Michael Bautista</v>
          </cell>
          <cell r="J277">
            <v>46217</v>
          </cell>
          <cell r="K277" t="str">
            <v>PORTATIL_HOMECENTER.pdf</v>
          </cell>
          <cell r="L277" t="str">
            <v>Gestión</v>
          </cell>
          <cell r="M277" t="str">
            <v>HOMECENTER</v>
          </cell>
          <cell r="N277">
            <v>3399900</v>
          </cell>
          <cell r="O277" t="str">
            <v>IVA incluido</v>
          </cell>
          <cell r="P277" t="str">
            <v>Si tiene IVA</v>
          </cell>
          <cell r="Q277">
            <v>2857058.82</v>
          </cell>
          <cell r="R277">
            <v>542841</v>
          </cell>
          <cell r="S277">
            <v>3399900</v>
          </cell>
          <cell r="T277">
            <v>39998824</v>
          </cell>
          <cell r="U277">
            <v>47598600</v>
          </cell>
          <cell r="V277" t="str">
            <v>Michael Bautista</v>
          </cell>
          <cell r="W277">
            <v>46217</v>
          </cell>
          <cell r="X277" t="str">
            <v>PORTATIL_KTRONIX.pdf</v>
          </cell>
          <cell r="Y277" t="str">
            <v>Transcripción</v>
          </cell>
          <cell r="Z277" t="str">
            <v>KTRONIX</v>
          </cell>
          <cell r="AA277">
            <v>3429000</v>
          </cell>
          <cell r="AB277" t="str">
            <v>IVA incluido</v>
          </cell>
          <cell r="AC277" t="str">
            <v>Si tiene IVA</v>
          </cell>
          <cell r="AD277">
            <v>2881512.61</v>
          </cell>
          <cell r="AE277">
            <v>547487</v>
          </cell>
          <cell r="AF277">
            <v>3429000</v>
          </cell>
          <cell r="AG277">
            <v>40341176</v>
          </cell>
          <cell r="AH277">
            <v>48006000</v>
          </cell>
          <cell r="AI277" t="str">
            <v>Michael Bautista</v>
          </cell>
          <cell r="AJ277">
            <v>46217</v>
          </cell>
          <cell r="AK277" t="str">
            <v>PORTATIL_FALABELLA.pdf</v>
          </cell>
          <cell r="AL277" t="str">
            <v>Transcripción</v>
          </cell>
          <cell r="AM277" t="str">
            <v>FALABELLA</v>
          </cell>
          <cell r="AN277">
            <v>3199900</v>
          </cell>
          <cell r="AO277" t="str">
            <v>IVA incluido</v>
          </cell>
          <cell r="AP277" t="str">
            <v>Si tiene IVA</v>
          </cell>
          <cell r="AQ277">
            <v>2688991.6</v>
          </cell>
          <cell r="AR277">
            <v>510908</v>
          </cell>
          <cell r="AS277">
            <v>3199900</v>
          </cell>
          <cell r="AT277">
            <v>37645882</v>
          </cell>
          <cell r="AU277">
            <v>44798600</v>
          </cell>
          <cell r="AV277">
            <v>3342933</v>
          </cell>
          <cell r="AW277">
            <v>46801062</v>
          </cell>
          <cell r="AX277">
            <v>1746109</v>
          </cell>
          <cell r="AY277">
            <v>3.73E-2</v>
          </cell>
        </row>
        <row r="278">
          <cell r="D278" t="str">
            <v>Licencia office vitalicia versión hogar (última actualización disponible)</v>
          </cell>
          <cell r="E278" t="str">
            <v xml:space="preserve">Licencia vitalicia para office que contenga mínimo: Versiones Word, Excel, PowerPoint   Para instalar y usar en un PC o un Mac y que permita reinstalación en caso de formatear un equipo. Acceso al soporte de Microsoft. </v>
          </cell>
          <cell r="F278" t="str">
            <v>Unidad</v>
          </cell>
          <cell r="G278">
            <v>14</v>
          </cell>
          <cell r="H278" t="str">
            <v>Compra</v>
          </cell>
          <cell r="I278" t="str">
            <v>Michael Bautista</v>
          </cell>
          <cell r="J278">
            <v>46231</v>
          </cell>
          <cell r="K278" t="str">
            <v>Revolution Soft.pdf</v>
          </cell>
          <cell r="L278" t="str">
            <v>Transcripción</v>
          </cell>
          <cell r="M278" t="str">
            <v>REVOLUTION STOF</v>
          </cell>
          <cell r="N278">
            <v>490000</v>
          </cell>
          <cell r="O278" t="str">
            <v>IVA incluido</v>
          </cell>
          <cell r="P278" t="str">
            <v>Si tiene IVA</v>
          </cell>
          <cell r="Q278">
            <v>411764.71</v>
          </cell>
          <cell r="R278">
            <v>78235</v>
          </cell>
          <cell r="S278">
            <v>490000</v>
          </cell>
          <cell r="T278">
            <v>5764706</v>
          </cell>
          <cell r="U278">
            <v>6860000</v>
          </cell>
          <cell r="V278" t="str">
            <v>Michael Bautista</v>
          </cell>
          <cell r="W278">
            <v>46218</v>
          </cell>
          <cell r="X278" t="str">
            <v>OFFICEHOGAR_LANUS.pdf</v>
          </cell>
          <cell r="Y278" t="str">
            <v>Transcripción</v>
          </cell>
          <cell r="Z278" t="str">
            <v>LASUS</v>
          </cell>
          <cell r="AA278">
            <v>413686</v>
          </cell>
          <cell r="AB278" t="str">
            <v>Precio sin Iva</v>
          </cell>
          <cell r="AC278" t="str">
            <v>Si tiene IVA</v>
          </cell>
          <cell r="AD278">
            <v>413686</v>
          </cell>
          <cell r="AE278">
            <v>78600</v>
          </cell>
          <cell r="AF278">
            <v>492286</v>
          </cell>
          <cell r="AG278">
            <v>5791604</v>
          </cell>
          <cell r="AH278">
            <v>6892009</v>
          </cell>
          <cell r="AI278" t="str">
            <v>Michael Bautista</v>
          </cell>
          <cell r="AJ278">
            <v>46218</v>
          </cell>
          <cell r="AK278" t="str">
            <v>OFFICEHOGAR_KTRONIX.pdf</v>
          </cell>
          <cell r="AL278" t="str">
            <v>Gestión</v>
          </cell>
          <cell r="AM278" t="str">
            <v>KTRONIX</v>
          </cell>
          <cell r="AN278">
            <v>499900</v>
          </cell>
          <cell r="AO278" t="str">
            <v>IVA incluido</v>
          </cell>
          <cell r="AP278" t="str">
            <v>Si tiene IVA</v>
          </cell>
          <cell r="AQ278">
            <v>420084.03</v>
          </cell>
          <cell r="AR278">
            <v>79816</v>
          </cell>
          <cell r="AS278">
            <v>499900</v>
          </cell>
          <cell r="AT278">
            <v>5881176</v>
          </cell>
          <cell r="AU278">
            <v>6998600</v>
          </cell>
          <cell r="AV278">
            <v>494062</v>
          </cell>
          <cell r="AW278">
            <v>6916868</v>
          </cell>
          <cell r="AX278">
            <v>72567</v>
          </cell>
          <cell r="AY278">
            <v>1.0500000000000001E-2</v>
          </cell>
        </row>
        <row r="279">
          <cell r="D279" t="str">
            <v>Regulador de voltaje</v>
          </cell>
          <cell r="E279" t="str">
            <v>Regulador electrónico de voltaje de al menos 1200w 2000va.  Material: caja metálica.  Voltaje: 110vac potencia mínima de (w) 1200, corriente (a) 10.9  Posiciones: al menos 4 tomas de salida regulados nema 5-15r</v>
          </cell>
          <cell r="F279" t="str">
            <v>Unidad</v>
          </cell>
          <cell r="G279">
            <v>9</v>
          </cell>
          <cell r="H279" t="str">
            <v>Compra</v>
          </cell>
          <cell r="I279" t="str">
            <v>Michael Bautista</v>
          </cell>
          <cell r="J279">
            <v>46217</v>
          </cell>
          <cell r="K279" t="str">
            <v>REGULADOR_HOMECENTER.pdf</v>
          </cell>
          <cell r="L279" t="str">
            <v>Gestión</v>
          </cell>
          <cell r="M279" t="str">
            <v>HOMECENTER</v>
          </cell>
          <cell r="N279">
            <v>215900</v>
          </cell>
          <cell r="O279" t="str">
            <v>IVA incluido</v>
          </cell>
          <cell r="P279" t="str">
            <v>Si tiene IVA</v>
          </cell>
          <cell r="Q279">
            <v>181428.57</v>
          </cell>
          <cell r="R279">
            <v>34471</v>
          </cell>
          <cell r="S279">
            <v>215900</v>
          </cell>
          <cell r="T279">
            <v>1632857</v>
          </cell>
          <cell r="U279">
            <v>1943100</v>
          </cell>
          <cell r="V279" t="str">
            <v>Michael Bautista</v>
          </cell>
          <cell r="W279">
            <v>46217</v>
          </cell>
          <cell r="X279" t="str">
            <v>REGULADOR_COMPUTECNI.pdf</v>
          </cell>
          <cell r="Y279" t="str">
            <v>Gestión</v>
          </cell>
          <cell r="Z279" t="str">
            <v>COMPUTECNI</v>
          </cell>
          <cell r="AA279">
            <v>210000</v>
          </cell>
          <cell r="AB279" t="str">
            <v>Precio sin Iva</v>
          </cell>
          <cell r="AC279" t="str">
            <v>Si tiene IVA</v>
          </cell>
          <cell r="AD279">
            <v>210000</v>
          </cell>
          <cell r="AE279">
            <v>39900</v>
          </cell>
          <cell r="AF279">
            <v>249900</v>
          </cell>
          <cell r="AG279">
            <v>1890000</v>
          </cell>
          <cell r="AH279">
            <v>2249100</v>
          </cell>
          <cell r="AI279" t="str">
            <v>Michael Bautista</v>
          </cell>
          <cell r="AJ279">
            <v>46217</v>
          </cell>
          <cell r="AK279" t="str">
            <v>REGULADOR_PROINNOVA.pdf</v>
          </cell>
          <cell r="AL279" t="str">
            <v>Gestión</v>
          </cell>
          <cell r="AM279" t="str">
            <v>PROINNOVA</v>
          </cell>
          <cell r="AN279">
            <v>288001</v>
          </cell>
          <cell r="AO279" t="str">
            <v>IVA incluido</v>
          </cell>
          <cell r="AP279" t="str">
            <v>Si tiene IVA</v>
          </cell>
          <cell r="AQ279">
            <v>242017.65</v>
          </cell>
          <cell r="AR279">
            <v>45983</v>
          </cell>
          <cell r="AS279">
            <v>288001</v>
          </cell>
          <cell r="AT279">
            <v>2178159</v>
          </cell>
          <cell r="AU279">
            <v>2592009</v>
          </cell>
          <cell r="AV279">
            <v>251267</v>
          </cell>
          <cell r="AW279">
            <v>2261403</v>
          </cell>
          <cell r="AX279">
            <v>324629</v>
          </cell>
          <cell r="AY279">
            <v>0.14360000000000001</v>
          </cell>
        </row>
        <row r="280">
          <cell r="D280" t="str">
            <v xml:space="preserve">Televisor </v>
          </cell>
          <cell r="E280" t="str">
            <v>Televisor LED de mínimo cincuenta (50) pulgadas, con resolución mínima 4K Ultra HD (3840 x 2160 píxeles). Deberá contar con al menos dos (2) puertos HDMI y un (1) puerto USB para reproducción multimedia, salida de audio compatible con dispositivos externos, funcionalidad Smart TV o equivalente y compatibilidad con Televisión Digital Terrestre (TDT) para Colombia.Conectividad Wi-Fi integrada. Con cable de alimentación eléctrica y base de soporte original del fabricante.</v>
          </cell>
          <cell r="F280" t="str">
            <v>Unidad</v>
          </cell>
          <cell r="G280">
            <v>2</v>
          </cell>
          <cell r="H280" t="str">
            <v>Compra</v>
          </cell>
          <cell r="I280" t="str">
            <v>Michael Bautista</v>
          </cell>
          <cell r="J280">
            <v>46217</v>
          </cell>
          <cell r="K280" t="str">
            <v>TV_FALABELLA.pdf</v>
          </cell>
          <cell r="L280" t="str">
            <v>Gestión</v>
          </cell>
          <cell r="M280" t="str">
            <v>FALABELLA</v>
          </cell>
          <cell r="N280">
            <v>2369900</v>
          </cell>
          <cell r="O280" t="str">
            <v>IVA incluido</v>
          </cell>
          <cell r="P280" t="str">
            <v>Si tiene IVA</v>
          </cell>
          <cell r="Q280">
            <v>1991512.61</v>
          </cell>
          <cell r="R280">
            <v>378387</v>
          </cell>
          <cell r="S280">
            <v>2369900</v>
          </cell>
          <cell r="T280">
            <v>3983025</v>
          </cell>
          <cell r="U280">
            <v>4739800</v>
          </cell>
          <cell r="V280" t="str">
            <v>Michael Bautista</v>
          </cell>
          <cell r="W280">
            <v>46217</v>
          </cell>
          <cell r="X280" t="str">
            <v>TV_EXITO.pdf</v>
          </cell>
          <cell r="Y280" t="str">
            <v>Gestión</v>
          </cell>
          <cell r="Z280" t="str">
            <v>EXITO</v>
          </cell>
          <cell r="AA280">
            <v>2600000</v>
          </cell>
          <cell r="AB280" t="str">
            <v>IVA incluido</v>
          </cell>
          <cell r="AC280" t="str">
            <v>Si tiene IVA</v>
          </cell>
          <cell r="AD280">
            <v>2184873.9500000002</v>
          </cell>
          <cell r="AE280">
            <v>415126</v>
          </cell>
          <cell r="AF280">
            <v>2600000</v>
          </cell>
          <cell r="AG280">
            <v>4369748</v>
          </cell>
          <cell r="AH280">
            <v>5200000</v>
          </cell>
          <cell r="AI280" t="str">
            <v>Michael Bautista</v>
          </cell>
          <cell r="AJ280">
            <v>46217</v>
          </cell>
          <cell r="AK280" t="str">
            <v>TV_HOMECENTER.pdf</v>
          </cell>
          <cell r="AL280" t="str">
            <v>Gestión</v>
          </cell>
          <cell r="AM280" t="str">
            <v>HOMECENTER</v>
          </cell>
          <cell r="AN280">
            <v>1975900</v>
          </cell>
          <cell r="AO280" t="str">
            <v>IVA incluido</v>
          </cell>
          <cell r="AP280" t="str">
            <v>Si tiene IVA</v>
          </cell>
          <cell r="AQ280">
            <v>1660420.17</v>
          </cell>
          <cell r="AR280">
            <v>315480</v>
          </cell>
          <cell r="AS280">
            <v>1975900</v>
          </cell>
          <cell r="AT280">
            <v>3320840</v>
          </cell>
          <cell r="AU280">
            <v>3951800</v>
          </cell>
          <cell r="AV280">
            <v>2315267</v>
          </cell>
          <cell r="AW280">
            <v>4630534</v>
          </cell>
          <cell r="AX280">
            <v>631233</v>
          </cell>
          <cell r="AY280">
            <v>0.1363</v>
          </cell>
        </row>
        <row r="281">
          <cell r="D281" t="str">
            <v>Telón para proyector</v>
          </cell>
          <cell r="E281" t="str">
            <v>Telón de proyección portátil con trípode ajustable, de mínimo ochenta y cuatro (84) pulgadas, en formato panorámico (16:9), fabricada en tela blanca tipo Flash Mate, Matt White o material equivalente para proyección audiovisual.</v>
          </cell>
          <cell r="F281" t="str">
            <v>Unidad</v>
          </cell>
          <cell r="G281">
            <v>12</v>
          </cell>
          <cell r="H281" t="str">
            <v>Compra</v>
          </cell>
          <cell r="I281" t="str">
            <v>Michael Bautista</v>
          </cell>
          <cell r="J281">
            <v>46231</v>
          </cell>
          <cell r="K281" t="str">
            <v>VTA_TELON.pdf</v>
          </cell>
          <cell r="L281" t="str">
            <v>Transcripción</v>
          </cell>
          <cell r="M281" t="str">
            <v>VTA</v>
          </cell>
          <cell r="N281">
            <v>374900</v>
          </cell>
          <cell r="O281" t="str">
            <v>IVA incluido</v>
          </cell>
          <cell r="P281" t="str">
            <v>Si tiene IVA</v>
          </cell>
          <cell r="Q281">
            <v>315042.02</v>
          </cell>
          <cell r="R281">
            <v>59858</v>
          </cell>
          <cell r="S281">
            <v>374900</v>
          </cell>
          <cell r="T281">
            <v>3780504</v>
          </cell>
          <cell r="U281">
            <v>4498800</v>
          </cell>
          <cell r="V281" t="str">
            <v>Michael Bautista</v>
          </cell>
          <cell r="W281">
            <v>46231</v>
          </cell>
          <cell r="X281" t="str">
            <v>KTRONIX_TELON.pdf</v>
          </cell>
          <cell r="Y281" t="str">
            <v>Transcripción</v>
          </cell>
          <cell r="Z281" t="str">
            <v>KTRONIX</v>
          </cell>
          <cell r="AA281">
            <v>374900</v>
          </cell>
          <cell r="AB281" t="str">
            <v>IVA incluido</v>
          </cell>
          <cell r="AC281" t="str">
            <v>Si tiene IVA</v>
          </cell>
          <cell r="AD281">
            <v>315042.02</v>
          </cell>
          <cell r="AE281">
            <v>59858</v>
          </cell>
          <cell r="AF281">
            <v>374900</v>
          </cell>
          <cell r="AG281">
            <v>3780504</v>
          </cell>
          <cell r="AH281">
            <v>4498800</v>
          </cell>
          <cell r="AI281" t="str">
            <v>Michael Bautista</v>
          </cell>
          <cell r="AJ281">
            <v>46217</v>
          </cell>
          <cell r="AK281" t="str">
            <v>TELON_STEREN</v>
          </cell>
          <cell r="AL281" t="str">
            <v>Gestión</v>
          </cell>
          <cell r="AM281" t="str">
            <v>STEREN</v>
          </cell>
          <cell r="AN281">
            <v>389000</v>
          </cell>
          <cell r="AO281" t="str">
            <v>IVA incluido</v>
          </cell>
          <cell r="AP281" t="str">
            <v>Si tiene IVA</v>
          </cell>
          <cell r="AQ281">
            <v>326890.76</v>
          </cell>
          <cell r="AR281">
            <v>62109</v>
          </cell>
          <cell r="AS281">
            <v>389000</v>
          </cell>
          <cell r="AT281">
            <v>3922689</v>
          </cell>
          <cell r="AU281">
            <v>4668000</v>
          </cell>
          <cell r="AV281">
            <v>379600</v>
          </cell>
          <cell r="AW281">
            <v>4555200</v>
          </cell>
          <cell r="AX281">
            <v>97688</v>
          </cell>
          <cell r="AY281">
            <v>2.1399999999999999E-2</v>
          </cell>
        </row>
        <row r="282">
          <cell r="D282" t="str">
            <v xml:space="preserve">Video Beam </v>
          </cell>
          <cell r="E282" t="str">
            <v>Videoproyector con resolución nativa mínima XGA (1024x768) o superior. Brillo mínimo de tres mil  (3.000) lúmenes ANSI. Tamaño máximo de proyección de hasta trescientas (300) pulgadas o superior. Vida útil de la lámpara mínima de doce mil (12.000) horas en modo económico o equivalente según especificaciones del fabricante. Deberá contar con mínimo un (1) puerto HDMI, entrada y salida de audio, puerto USB cuando aplique según la referencia ofertada y conectividad compatible con equipos de cómputo y reproducción multimedia.</v>
          </cell>
          <cell r="F282" t="str">
            <v>Unidad</v>
          </cell>
          <cell r="G282">
            <v>11</v>
          </cell>
          <cell r="H282" t="str">
            <v>Compra</v>
          </cell>
          <cell r="I282" t="str">
            <v>Michael Bautista</v>
          </cell>
          <cell r="J282">
            <v>46217</v>
          </cell>
          <cell r="K282" t="str">
            <v>VIDEOBEAM_EPSON.pdf</v>
          </cell>
          <cell r="L282" t="str">
            <v>Transcripción</v>
          </cell>
          <cell r="M282" t="str">
            <v>EPSON</v>
          </cell>
          <cell r="N282">
            <v>2359000</v>
          </cell>
          <cell r="O282" t="str">
            <v>IVA incluido</v>
          </cell>
          <cell r="P282" t="str">
            <v>Si tiene IVA</v>
          </cell>
          <cell r="Q282">
            <v>1982352.94</v>
          </cell>
          <cell r="R282">
            <v>376647</v>
          </cell>
          <cell r="S282">
            <v>2359000</v>
          </cell>
          <cell r="T282">
            <v>21805882</v>
          </cell>
          <cell r="U282">
            <v>25949000</v>
          </cell>
          <cell r="V282" t="str">
            <v>Michael Bautista</v>
          </cell>
          <cell r="W282">
            <v>46217</v>
          </cell>
          <cell r="X282" t="str">
            <v>VIDEOBEAM_VTA.pdf</v>
          </cell>
          <cell r="Y282" t="str">
            <v>Transcripción</v>
          </cell>
          <cell r="Z282" t="str">
            <v>VTA</v>
          </cell>
          <cell r="AA282">
            <v>2399900</v>
          </cell>
          <cell r="AB282" t="str">
            <v>IVA incluido</v>
          </cell>
          <cell r="AC282" t="str">
            <v>Si tiene IVA</v>
          </cell>
          <cell r="AD282">
            <v>2016722.69</v>
          </cell>
          <cell r="AE282">
            <v>383177</v>
          </cell>
          <cell r="AF282">
            <v>2399900</v>
          </cell>
          <cell r="AG282">
            <v>22183950</v>
          </cell>
          <cell r="AH282">
            <v>26398900</v>
          </cell>
          <cell r="AI282" t="str">
            <v>Michael Bautista</v>
          </cell>
          <cell r="AJ282">
            <v>46217</v>
          </cell>
          <cell r="AK282" t="str">
            <v>VIDEOBEAM_COMPULAGO.pdf</v>
          </cell>
          <cell r="AL282" t="str">
            <v>Gestión</v>
          </cell>
          <cell r="AM282" t="str">
            <v>COMPULAGO</v>
          </cell>
          <cell r="AN282">
            <v>2340000</v>
          </cell>
          <cell r="AO282" t="str">
            <v>IVA incluido</v>
          </cell>
          <cell r="AP282" t="str">
            <v>Si tiene IVA</v>
          </cell>
          <cell r="AQ282">
            <v>1966386.55</v>
          </cell>
          <cell r="AR282">
            <v>373613</v>
          </cell>
          <cell r="AS282">
            <v>2340000</v>
          </cell>
          <cell r="AT282">
            <v>21630252</v>
          </cell>
          <cell r="AU282">
            <v>25740000</v>
          </cell>
          <cell r="AV282">
            <v>2366300</v>
          </cell>
          <cell r="AW282">
            <v>26029300</v>
          </cell>
          <cell r="AX282">
            <v>336710</v>
          </cell>
          <cell r="AY282">
            <v>1.29E-2</v>
          </cell>
        </row>
        <row r="411">
          <cell r="BA411" t="str">
            <v>LUZ JIMENEZ 02/07/2026</v>
          </cell>
        </row>
        <row r="412">
          <cell r="BA412" t="str">
            <v>LUZ JIMENEZ 22/06/2026</v>
          </cell>
        </row>
        <row r="413">
          <cell r="BA413" t="str">
            <v>LUZ JIMENEZ 22/06/2026</v>
          </cell>
        </row>
        <row r="416">
          <cell r="BA416" t="str">
            <v>LUZ JIMENEZ 22/06/2026</v>
          </cell>
        </row>
        <row r="418">
          <cell r="BA418" t="str">
            <v>LUZ JIMENEZ 22/06/2026</v>
          </cell>
        </row>
        <row r="419">
          <cell r="BA419" t="str">
            <v>LUZ JIMENEZ 22/06/2026</v>
          </cell>
        </row>
        <row r="425">
          <cell r="BA425" t="str">
            <v>LUZ JIMENEZ 22/06/2026</v>
          </cell>
        </row>
        <row r="426">
          <cell r="BA426" t="str">
            <v>LUZ JIMENEZ 22/06/2026</v>
          </cell>
        </row>
        <row r="427">
          <cell r="BA427" t="str">
            <v>LUZ JIMENEZ 22/06/2026</v>
          </cell>
        </row>
      </sheetData>
      <sheetData sheetId="1">
        <row r="6">
          <cell r="AB6" t="str">
            <v/>
          </cell>
        </row>
        <row r="11">
          <cell r="D11" t="str">
            <v/>
          </cell>
          <cell r="Z11" t="str">
            <v/>
          </cell>
          <cell r="AA11" t="str">
            <v/>
          </cell>
        </row>
        <row r="12">
          <cell r="D12" t="str">
            <v/>
          </cell>
          <cell r="Z12" t="str">
            <v/>
          </cell>
          <cell r="AA12" t="str">
            <v/>
          </cell>
        </row>
        <row r="13">
          <cell r="D13" t="str">
            <v/>
          </cell>
          <cell r="Z13" t="str">
            <v/>
          </cell>
          <cell r="AA13" t="str">
            <v/>
          </cell>
        </row>
        <row r="14">
          <cell r="D14" t="str">
            <v/>
          </cell>
          <cell r="Z14" t="str">
            <v/>
          </cell>
          <cell r="AA14" t="str">
            <v/>
          </cell>
        </row>
        <row r="15">
          <cell r="D15" t="str">
            <v/>
          </cell>
          <cell r="Z15" t="str">
            <v/>
          </cell>
          <cell r="AA15" t="str">
            <v/>
          </cell>
        </row>
        <row r="16">
          <cell r="D16" t="str">
            <v/>
          </cell>
          <cell r="Z16" t="str">
            <v/>
          </cell>
          <cell r="AA16" t="str">
            <v/>
          </cell>
        </row>
        <row r="17">
          <cell r="D17" t="str">
            <v/>
          </cell>
          <cell r="Z17" t="str">
            <v/>
          </cell>
          <cell r="AA17" t="str">
            <v/>
          </cell>
        </row>
        <row r="18">
          <cell r="D18" t="str">
            <v/>
          </cell>
          <cell r="Z18" t="str">
            <v/>
          </cell>
          <cell r="AA18" t="str">
            <v/>
          </cell>
        </row>
        <row r="19">
          <cell r="D19" t="str">
            <v/>
          </cell>
          <cell r="Z19" t="str">
            <v/>
          </cell>
          <cell r="AA19" t="str">
            <v/>
          </cell>
        </row>
        <row r="20">
          <cell r="D20" t="str">
            <v/>
          </cell>
          <cell r="Z20" t="str">
            <v/>
          </cell>
          <cell r="AA20" t="str">
            <v/>
          </cell>
        </row>
        <row r="21">
          <cell r="D21" t="str">
            <v/>
          </cell>
          <cell r="Z21" t="str">
            <v/>
          </cell>
          <cell r="AA21" t="str">
            <v/>
          </cell>
        </row>
        <row r="22">
          <cell r="D22" t="str">
            <v/>
          </cell>
          <cell r="Z22" t="str">
            <v/>
          </cell>
          <cell r="AA22" t="str">
            <v/>
          </cell>
        </row>
        <row r="23">
          <cell r="D23" t="str">
            <v/>
          </cell>
          <cell r="Z23" t="str">
            <v/>
          </cell>
          <cell r="AA23" t="str">
            <v/>
          </cell>
        </row>
        <row r="24">
          <cell r="D24" t="str">
            <v/>
          </cell>
          <cell r="Z24" t="str">
            <v/>
          </cell>
          <cell r="AA24" t="str">
            <v/>
          </cell>
        </row>
        <row r="25">
          <cell r="D25" t="str">
            <v/>
          </cell>
          <cell r="Z25" t="str">
            <v/>
          </cell>
          <cell r="AA25" t="str">
            <v/>
          </cell>
        </row>
        <row r="26">
          <cell r="D26" t="str">
            <v/>
          </cell>
          <cell r="Z26" t="str">
            <v/>
          </cell>
          <cell r="AA26" t="str">
            <v/>
          </cell>
        </row>
        <row r="27">
          <cell r="D27" t="str">
            <v/>
          </cell>
          <cell r="Z27" t="str">
            <v/>
          </cell>
          <cell r="AA27" t="str">
            <v/>
          </cell>
        </row>
        <row r="28">
          <cell r="D28" t="str">
            <v/>
          </cell>
          <cell r="Z28" t="str">
            <v/>
          </cell>
          <cell r="AA28" t="str">
            <v/>
          </cell>
        </row>
        <row r="29">
          <cell r="D29" t="str">
            <v/>
          </cell>
          <cell r="Z29" t="str">
            <v/>
          </cell>
          <cell r="AA29" t="str">
            <v/>
          </cell>
        </row>
        <row r="30">
          <cell r="D30" t="str">
            <v/>
          </cell>
          <cell r="Z30" t="str">
            <v/>
          </cell>
          <cell r="AA30" t="str">
            <v/>
          </cell>
        </row>
        <row r="31">
          <cell r="D31" t="str">
            <v/>
          </cell>
          <cell r="Z31" t="str">
            <v/>
          </cell>
          <cell r="AA31" t="str">
            <v/>
          </cell>
        </row>
        <row r="32">
          <cell r="D32" t="str">
            <v/>
          </cell>
          <cell r="Z32" t="str">
            <v/>
          </cell>
          <cell r="AA32" t="str">
            <v/>
          </cell>
        </row>
        <row r="33">
          <cell r="D33" t="str">
            <v/>
          </cell>
          <cell r="Z33" t="str">
            <v/>
          </cell>
          <cell r="AA33" t="str">
            <v/>
          </cell>
        </row>
        <row r="34">
          <cell r="D34" t="str">
            <v/>
          </cell>
          <cell r="Z34" t="str">
            <v/>
          </cell>
          <cell r="AA34" t="str">
            <v/>
          </cell>
        </row>
        <row r="35">
          <cell r="D35" t="str">
            <v/>
          </cell>
          <cell r="Z35" t="str">
            <v/>
          </cell>
          <cell r="AA35" t="str">
            <v/>
          </cell>
        </row>
        <row r="36">
          <cell r="D36" t="str">
            <v/>
          </cell>
          <cell r="Z36" t="str">
            <v/>
          </cell>
          <cell r="AA36" t="str">
            <v/>
          </cell>
        </row>
        <row r="37">
          <cell r="D37" t="str">
            <v/>
          </cell>
          <cell r="Z37" t="str">
            <v/>
          </cell>
          <cell r="AA37" t="str">
            <v/>
          </cell>
        </row>
        <row r="38">
          <cell r="D38" t="str">
            <v/>
          </cell>
          <cell r="Z38" t="str">
            <v/>
          </cell>
          <cell r="AA38" t="str">
            <v/>
          </cell>
        </row>
        <row r="39">
          <cell r="D39" t="str">
            <v/>
          </cell>
          <cell r="Z39" t="str">
            <v/>
          </cell>
          <cell r="AA39" t="str">
            <v/>
          </cell>
        </row>
        <row r="40">
          <cell r="D40" t="str">
            <v/>
          </cell>
          <cell r="Z40" t="str">
            <v/>
          </cell>
          <cell r="AA40" t="str">
            <v/>
          </cell>
        </row>
        <row r="41">
          <cell r="D41" t="str">
            <v/>
          </cell>
          <cell r="Z41" t="str">
            <v/>
          </cell>
          <cell r="AA41" t="str">
            <v/>
          </cell>
        </row>
        <row r="42">
          <cell r="D42" t="str">
            <v/>
          </cell>
          <cell r="Z42" t="str">
            <v/>
          </cell>
          <cell r="AA42" t="str">
            <v/>
          </cell>
        </row>
        <row r="43">
          <cell r="D43" t="str">
            <v/>
          </cell>
          <cell r="Z43" t="str">
            <v/>
          </cell>
          <cell r="AA43" t="str">
            <v/>
          </cell>
        </row>
        <row r="44">
          <cell r="D44" t="str">
            <v/>
          </cell>
          <cell r="Z44" t="str">
            <v/>
          </cell>
          <cell r="AA44" t="str">
            <v/>
          </cell>
        </row>
        <row r="45">
          <cell r="D45" t="str">
            <v/>
          </cell>
          <cell r="Z45" t="str">
            <v/>
          </cell>
          <cell r="AA45" t="str">
            <v/>
          </cell>
        </row>
        <row r="46">
          <cell r="D46" t="str">
            <v/>
          </cell>
          <cell r="Z46" t="str">
            <v/>
          </cell>
          <cell r="AA46" t="str">
            <v/>
          </cell>
        </row>
        <row r="47">
          <cell r="D47" t="str">
            <v/>
          </cell>
          <cell r="Z47" t="str">
            <v/>
          </cell>
          <cell r="AA47" t="str">
            <v/>
          </cell>
        </row>
        <row r="48">
          <cell r="D48" t="str">
            <v/>
          </cell>
          <cell r="Z48" t="str">
            <v/>
          </cell>
          <cell r="AA48" t="str">
            <v/>
          </cell>
        </row>
        <row r="49">
          <cell r="D49" t="str">
            <v/>
          </cell>
          <cell r="Z49" t="str">
            <v/>
          </cell>
          <cell r="AA49" t="str">
            <v/>
          </cell>
        </row>
        <row r="50">
          <cell r="D50" t="str">
            <v/>
          </cell>
          <cell r="Z50" t="str">
            <v/>
          </cell>
          <cell r="AA50" t="str">
            <v/>
          </cell>
        </row>
        <row r="51">
          <cell r="D51" t="str">
            <v/>
          </cell>
          <cell r="Z51" t="str">
            <v/>
          </cell>
          <cell r="AA51" t="str">
            <v/>
          </cell>
        </row>
        <row r="52">
          <cell r="D52" t="str">
            <v/>
          </cell>
          <cell r="Z52" t="str">
            <v/>
          </cell>
          <cell r="AA52" t="str">
            <v/>
          </cell>
        </row>
        <row r="53">
          <cell r="D53" t="str">
            <v/>
          </cell>
          <cell r="Z53" t="str">
            <v/>
          </cell>
          <cell r="AA53" t="str">
            <v/>
          </cell>
        </row>
        <row r="54">
          <cell r="D54" t="str">
            <v/>
          </cell>
          <cell r="Z54" t="str">
            <v/>
          </cell>
          <cell r="AA54" t="str">
            <v/>
          </cell>
        </row>
        <row r="55">
          <cell r="D55" t="str">
            <v/>
          </cell>
          <cell r="Z55" t="str">
            <v/>
          </cell>
          <cell r="AA55" t="str">
            <v/>
          </cell>
        </row>
        <row r="56">
          <cell r="D56" t="str">
            <v/>
          </cell>
          <cell r="Z56" t="str">
            <v/>
          </cell>
          <cell r="AA56" t="str">
            <v/>
          </cell>
        </row>
        <row r="57">
          <cell r="D57" t="str">
            <v/>
          </cell>
          <cell r="Z57" t="str">
            <v/>
          </cell>
          <cell r="AA57" t="str">
            <v/>
          </cell>
        </row>
        <row r="58">
          <cell r="D58" t="str">
            <v/>
          </cell>
          <cell r="Z58" t="str">
            <v/>
          </cell>
          <cell r="AA58" t="str">
            <v/>
          </cell>
        </row>
        <row r="59">
          <cell r="D59" t="str">
            <v/>
          </cell>
          <cell r="Z59" t="str">
            <v/>
          </cell>
          <cell r="AA59" t="str">
            <v/>
          </cell>
        </row>
        <row r="60">
          <cell r="D60" t="str">
            <v/>
          </cell>
          <cell r="Z60" t="str">
            <v/>
          </cell>
          <cell r="AA60" t="str">
            <v/>
          </cell>
        </row>
        <row r="61">
          <cell r="D61" t="str">
            <v/>
          </cell>
          <cell r="Z61" t="str">
            <v/>
          </cell>
          <cell r="AA61" t="str">
            <v/>
          </cell>
        </row>
        <row r="62">
          <cell r="D62" t="str">
            <v/>
          </cell>
          <cell r="Z62" t="str">
            <v/>
          </cell>
          <cell r="AA62" t="str">
            <v/>
          </cell>
        </row>
        <row r="63">
          <cell r="D63" t="str">
            <v/>
          </cell>
          <cell r="Z63" t="str">
            <v/>
          </cell>
          <cell r="AA63" t="str">
            <v/>
          </cell>
        </row>
        <row r="64">
          <cell r="D64" t="str">
            <v/>
          </cell>
          <cell r="Z64" t="str">
            <v/>
          </cell>
          <cell r="AA64" t="str">
            <v/>
          </cell>
        </row>
        <row r="65">
          <cell r="D65" t="str">
            <v/>
          </cell>
          <cell r="Z65" t="str">
            <v/>
          </cell>
          <cell r="AA65" t="str">
            <v/>
          </cell>
        </row>
        <row r="66">
          <cell r="D66" t="str">
            <v/>
          </cell>
          <cell r="Z66" t="str">
            <v/>
          </cell>
          <cell r="AA66" t="str">
            <v/>
          </cell>
        </row>
        <row r="67">
          <cell r="D67" t="str">
            <v/>
          </cell>
          <cell r="Z67" t="str">
            <v/>
          </cell>
          <cell r="AA67" t="str">
            <v/>
          </cell>
        </row>
        <row r="68">
          <cell r="D68" t="str">
            <v/>
          </cell>
          <cell r="Z68" t="str">
            <v/>
          </cell>
          <cell r="AA68" t="str">
            <v/>
          </cell>
        </row>
        <row r="69">
          <cell r="D69" t="str">
            <v/>
          </cell>
          <cell r="Z69" t="str">
            <v/>
          </cell>
          <cell r="AA69" t="str">
            <v/>
          </cell>
        </row>
        <row r="70">
          <cell r="D70" t="str">
            <v/>
          </cell>
          <cell r="Z70" t="str">
            <v/>
          </cell>
          <cell r="AA70" t="str">
            <v/>
          </cell>
        </row>
        <row r="71">
          <cell r="D71" t="str">
            <v/>
          </cell>
          <cell r="Z71" t="str">
            <v/>
          </cell>
          <cell r="AA71" t="str">
            <v/>
          </cell>
        </row>
        <row r="72">
          <cell r="D72" t="str">
            <v/>
          </cell>
          <cell r="Z72" t="str">
            <v/>
          </cell>
          <cell r="AA72" t="str">
            <v/>
          </cell>
        </row>
        <row r="73">
          <cell r="D73" t="str">
            <v/>
          </cell>
          <cell r="Z73" t="str">
            <v/>
          </cell>
          <cell r="AA73" t="str">
            <v/>
          </cell>
        </row>
        <row r="74">
          <cell r="D74" t="str">
            <v/>
          </cell>
          <cell r="Z74" t="str">
            <v/>
          </cell>
          <cell r="AA74" t="str">
            <v/>
          </cell>
        </row>
        <row r="75">
          <cell r="D75" t="str">
            <v/>
          </cell>
          <cell r="Z75" t="str">
            <v/>
          </cell>
          <cell r="AA75" t="str">
            <v/>
          </cell>
        </row>
        <row r="145">
          <cell r="J145">
            <v>0</v>
          </cell>
        </row>
        <row r="146">
          <cell r="J146">
            <v>0</v>
          </cell>
        </row>
        <row r="153">
          <cell r="J153">
            <v>0</v>
          </cell>
        </row>
        <row r="154">
          <cell r="J154">
            <v>0</v>
          </cell>
        </row>
        <row r="155">
          <cell r="J155">
            <v>0</v>
          </cell>
        </row>
        <row r="156">
          <cell r="J156">
            <v>0</v>
          </cell>
        </row>
      </sheetData>
      <sheetData sheetId="2"/>
      <sheetData sheetId="3"/>
      <sheetData sheetId="4"/>
      <sheetData sheetId="5"/>
      <sheetData sheetId="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9:AD70" sheet="Estudio_Mercado"/>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6">
      <sharedItems containsMixedTypes="1" containsNumber="1" containsInteger="1" minValue="0" maxValue="0"/>
    </cacheField>
    <cacheField name="Desviación estandar " numFmtId="166">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6">
      <sharedItems containsMixedTypes="1" containsNumber="1" containsInteger="1" minValue="0" maxValue="0"/>
    </cacheField>
    <cacheField name="Promedio valor total con IVA2" numFmtId="166">
      <sharedItems containsMixedTypes="1" containsNumber="1" containsInteger="1" minValue="0" maxValue="0"/>
    </cacheField>
    <cacheField name="Desviación estandar 2" numFmtId="166">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9:AD70" sheet="Estudio_Mercado"/>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6">
      <sharedItems containsNonDate="0" containsString="0" containsBlank="1"/>
    </cacheField>
    <cacheField name="Valor IVA" numFmtId="168">
      <sharedItems containsSemiMixedTypes="0" containsString="0" containsNumber="1" containsInteger="1" minValue="0" maxValue="0"/>
    </cacheField>
    <cacheField name="Valor unitario con IVA" numFmtId="168">
      <sharedItems containsSemiMixedTypes="0" containsString="0" containsNumber="1" containsInteger="1" minValue="0" maxValue="0"/>
    </cacheField>
    <cacheField name="Valor total Sin IVA" numFmtId="168">
      <sharedItems/>
    </cacheField>
    <cacheField name="Valor total con IVA" numFmtId="168">
      <sharedItems/>
    </cacheField>
    <cacheField name="Empresa Cotizante cotización 2" numFmtId="0">
      <sharedItems containsNonDate="0" containsString="0" containsBlank="1"/>
    </cacheField>
    <cacheField name="Valor unitario sin IVA2" numFmtId="166">
      <sharedItems containsNonDate="0" containsString="0" containsBlank="1"/>
    </cacheField>
    <cacheField name="Valor IVA2" numFmtId="166">
      <sharedItems containsSemiMixedTypes="0" containsString="0" containsNumber="1" containsInteger="1" minValue="0" maxValue="0"/>
    </cacheField>
    <cacheField name="Valor unitario con IVA2" numFmtId="166">
      <sharedItems containsSemiMixedTypes="0" containsString="0" containsNumber="1" containsInteger="1" minValue="0" maxValue="0"/>
    </cacheField>
    <cacheField name="Valor total Sin IVA2" numFmtId="166">
      <sharedItems/>
    </cacheField>
    <cacheField name="Valor total con IVA2" numFmtId="166">
      <sharedItems/>
    </cacheField>
    <cacheField name="Empresa Cotizante cotización 3" numFmtId="0">
      <sharedItems containsNonDate="0" containsString="0" containsBlank="1"/>
    </cacheField>
    <cacheField name="Valor unitario sin IVA3" numFmtId="166">
      <sharedItems containsNonDate="0" containsString="0" containsBlank="1"/>
    </cacheField>
    <cacheField name="Valor IVA3" numFmtId="166">
      <sharedItems containsSemiMixedTypes="0" containsString="0" containsNumber="1" containsInteger="1" minValue="0" maxValue="0"/>
    </cacheField>
    <cacheField name="Valor unitario con IVA3" numFmtId="166">
      <sharedItems containsSemiMixedTypes="0" containsString="0" containsNumber="1" containsInteger="1" minValue="0" maxValue="0"/>
    </cacheField>
    <cacheField name="Valor total Sin IVA3" numFmtId="166">
      <sharedItems/>
    </cacheField>
    <cacheField name="Valor total con IVA3" numFmtId="166">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6">
      <sharedItems containsSemiMixedTypes="0" containsString="0" containsNumber="1" containsInteger="1" minValue="0" maxValue="0"/>
    </cacheField>
    <cacheField name="Valor unitario con IVA4" numFmtId="166">
      <sharedItems containsSemiMixedTypes="0" containsString="0" containsNumber="1" containsInteger="1" minValue="0" maxValue="0"/>
    </cacheField>
    <cacheField name="Valor total Sin IVA4" numFmtId="166">
      <sharedItems/>
    </cacheField>
    <cacheField name="Valor total con IVA4" numFmtId="166">
      <sharedItems/>
    </cacheField>
    <cacheField name="Promedio valor unitario con IVA" numFmtId="166">
      <sharedItems/>
    </cacheField>
    <cacheField name="Promedio valor total con IVA" numFmtId="166">
      <sharedItems/>
    </cacheField>
    <cacheField name="Desviación estandar " numFmtId="166">
      <sharedItems/>
    </cacheField>
    <cacheField name="Coeficiente de variación" numFmtId="9">
      <sharedItems/>
    </cacheField>
    <cacheField name="Promedio valor unitario con IVA2" numFmtId="166">
      <sharedItems/>
    </cacheField>
    <cacheField name="Promedio valor total con IVA2" numFmtId="166">
      <sharedItems/>
    </cacheField>
    <cacheField name="Límite menor" numFmtId="166">
      <sharedItems/>
    </cacheField>
    <cacheField name="Límite mayor" numFmtId="166">
      <sharedItems/>
    </cacheField>
    <cacheField name="Valor Unitario Techo (IVA incluído)" numFmtId="167">
      <sharedItems/>
    </cacheField>
    <cacheField name="Valor Total Techo (IVA incluído)" numFmtId="167">
      <sharedItems/>
    </cacheField>
    <cacheField name="Promedio valor unitario con IVA3" numFmtId="166">
      <sharedItems/>
    </cacheField>
    <cacheField name="Promedio valor total con IVA3" numFmtId="166">
      <sharedItems/>
    </cacheField>
    <cacheField name="Desviación estandar 2" numFmtId="166">
      <sharedItems/>
    </cacheField>
    <cacheField name="Coeficiente de variación2" numFmtId="9">
      <sharedItems/>
    </cacheField>
    <cacheField name="Promedio valor unitario con IVA4" numFmtId="166">
      <sharedItems/>
    </cacheField>
    <cacheField name="Promedio valor total con IVA4" numFmtId="166">
      <sharedItems/>
    </cacheField>
    <cacheField name="Límite menor2" numFmtId="166">
      <sharedItems/>
    </cacheField>
    <cacheField name="Límite mayor2" numFmtId="166">
      <sharedItems/>
    </cacheField>
    <cacheField name="Valor Unitario Techo (IVA incluído)2" numFmtId="167">
      <sharedItems containsSemiMixedTypes="0" containsString="0" containsNumber="1" containsInteger="1" minValue="0" maxValue="0"/>
    </cacheField>
    <cacheField name="Valor Total Techo (IVA incluído)2" numFmtId="167">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9:AS70" sheet="Estudio_Mercado"/>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7">
      <sharedItems containsNonDate="0" containsString="0" containsBlank="1"/>
    </cacheField>
    <cacheField name="Valor total que el proponente no podrá modificar en su oferta" numFmtId="167">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7">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747"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74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746"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8" showAll="0"/>
    <pivotField numFmtId="168"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numFmtId="166" showAll="0"/>
    <pivotField numFmtId="166"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7" showAll="0"/>
    <pivotField numFmtId="167"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DOwrkGaTIqSpRDUMBDYVA7AaukvIV36NLECbIIVUr06zU?e=4WKAAf"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A4Se_4B3shT634s1Z9asL-Afq0fvBnZ02_aQX9GQj4sIg?e=14PGKC"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aKzb140QMQbpu1mEM190hAWrqfSQ-_bxn1W9gecMeJSA?e=As9Puq"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cKXNGqms4Ra967UrgwNTFAX6C63En3n2bYJUjlAPj1JI?e=YRkqOW"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44" Type="http://schemas.openxmlformats.org/officeDocument/2006/relationships/hyperlink" Target="https://gobiernobogota-my.sharepoint.com/:b:/g/personal/planeacion_suba_gobiernobogota_gov_co/IQAQUVz7wPdLTqPLB_LQ0gjJAbpVs4__-AZPMiWt12b0LT0?e=Iij9Lb"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55" Type="http://schemas.openxmlformats.org/officeDocument/2006/relationships/hyperlink" Target="https://gobiernobogota-my.sharepoint.com/:b:/g/personal/planeacion_suba_gobiernobogota_gov_co/IQDoevANHG4NTZZYJHAdZ50-Abzt9BrhsP7pzNN3dgjI0kc?e=2gJBGQ"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566" Type="http://schemas.openxmlformats.org/officeDocument/2006/relationships/hyperlink" Target="https://gobiernobogota-my.sharepoint.com/:b:/g/personal/planeacion_suba_gobiernobogota_gov_co/IQDWtC2F9n6uSJ02T0JSNi2FAXASCjdUaPzutEVQywt_3nM?e=qCWQzQ"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CsATjEOwivSIViZ6CcvWDHAUPx6iUYEoo9hxRaDS5MJuU?e=z3yphV" TargetMode="External"/><Relationship Id="rId577" Type="http://schemas.openxmlformats.org/officeDocument/2006/relationships/hyperlink" Target="https://gobiernobogota-my.sharepoint.com/:b:/g/personal/planeacion_suba_gobiernobogota_gov_co/IQBqe1I2zgoQR5Z1yIKIm_dsAQvFCvJJKQj9B9MURN_wg08?e=0aVK6m"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546" Type="http://schemas.openxmlformats.org/officeDocument/2006/relationships/hyperlink" Target="https://gobiernobogota-my.sharepoint.com/:b:/g/personal/planeacion_suba_gobiernobogota_gov_co/IQAPP7KxvGWWR5yuP8gCWT76Ab9PfWrg9IWjoW3B8Iiszok?e=rNzI5V"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57" Type="http://schemas.openxmlformats.org/officeDocument/2006/relationships/hyperlink" Target="https://gobiernobogota-my.sharepoint.com/:b:/g/personal/planeacion_suba_gobiernobogota_gov_co/IQAFQdkQS4-vT6W963Ct5yWdATsL35e3ruHBUsvSrh5F2fA?e=jEQdRh"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Du7C85jjPeRZL7sdNl3FWwAauENOtZ8sW3GXEBij1jsCA?e=rOicqn"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37" Type="http://schemas.openxmlformats.org/officeDocument/2006/relationships/hyperlink" Target="https://gobiernobogota-my.sharepoint.com/:b:/g/personal/planeacion_suba_gobiernobogota_gov_co/IQAYhMorQvC8Tpend71d3sNSAW3wIHaLPabakKJgT5FGYqY?e=pqCQQs" TargetMode="External"/><Relationship Id="rId579" Type="http://schemas.openxmlformats.org/officeDocument/2006/relationships/printerSettings" Target="../printerSettings/printerSettings2.bin"/><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CE1IYVz0lgTpXobLf5_hbDAUKoVIn2ukCMD4f7_QTOQHQ?e=5EqTuQ"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ClIKjP1PWkTJhzxsjesVqQAYMatfDb8_yRME18bXzKzw0?e=4TRNwI"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A0dS4MpmAHTIPPLZozFv5_AaVbN0mKaCjK2TIH3rPTe3c?e=kNSkDJ"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A4NlO3XQEiQbrcE-ej6sgcAd1xtLX1wBuGIg0kjuim7DY?e=xClN4P"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Cx8-i5yne_QbEYTnS36FG4AWutfXy6THx9o-j8mSgsbuY?e=xleLJf"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AzLsCKXgd_QJfhPijUwyw8AV6o8F8IbOe6cybBnR-8zbg?e=uzg30L"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CaZUPnFa__R54BHSEQJguWAXfMuFJwvd3XGXYHhhJih5o?e=10ps7h"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C0j0BzvHMTSZKvVkjPNeQIAeaRr0HX6sicPIaAkE7tIyA?e=aVf7iU"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XIYOhQokARIGrzDbo5eA5AcGo9UDCGTZHc4XWTx6CEJU?e=quy4cn"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DxRQf0MaraRLAI6SeurFWyAUB1VkcrT29Z4ES23OTsQ4o?e=gQcuq7"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Do4dlyXDo9R5O0ZZfujmyxASTz6GJtTDauWWMk0jgJLDg?e=Yp5dcz"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DJKdWv_m8_Ra81MW3tzYxBAS8cb2Cu3uaoOowMrfN3sDE?e=LcQ68f"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Awnmdr7F2XT6Urb-INfRdcAaQ-EClG9VLA7394Cpfv02w?e=vWzPG2"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AtaVD6bj3FRZhHeA3-e_FZAYs7eB3dkoQJIRG9ziohkWs?e=EP6yB6"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BHl16NE7nOSr73BSC69EX_ATpr6YBgUjwMvuvjMaSlSlE?e=o8MqKg" TargetMode="External"/><Relationship Id="rId576" Type="http://schemas.openxmlformats.org/officeDocument/2006/relationships/hyperlink" Target="https://gobiernobogota-my.sharepoint.com/:b:/g/personal/planeacion_suba_gobiernobogota_gov_co/IQCbT34E176zQKdoEDOLYZQmAakLLyLw-wwEuNmfinjJQH8?e=w00Dn6"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D-sRFXb627SqvhU2CAy-oTASyE9NgIPj3bD9UDgGT76I0?e=htfbUA"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CZoljksrBcQ6yRT6DhU6MXAeFk64AER36rGy_MMIYx9ss?e=dgN5ke"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s4xYQu87LRbzwjeTC71ANAYDSBkqN_Nge1JnILdORuyI?e=isCmvg"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Cl0T58W37HRbdV3Nll0CQ_AeA7GHqwc57jko2q-4Z7Vbg?e=HrCUvf"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Cj4Dr4Y9yvQoLss5cmU0VvAR7GOPr54LZwPq5e3wbLRRE?e=6f1cO0"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XQmhj1pvOQJR6Fy6cAiigAQmQv80t2vS9-TTkM0lObDI?e=V75HOz"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B-knfmaKYvSqhBedh06GzOAdlvqAxLVD8Q85LVGQoiRPo?e=yEhaRa"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BJg4Z89B_1TLFef-8UQR7uAeYroD0BsmZBMleZ58uJojE?e=Lm3MKY"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drawing" Target="../drawings/drawing3.xm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OB9H0SugxRoappfXNr4YmAYdgSxU5a7jbcUXvetoZAOc?e=bgDLdf"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1eniFzospSLQK7D92tITjAZS359IapFQNwlRKo6RERHo?e=HH8s4o"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AkwNBPjfQZQZZM1Xd0CC6wAV11pULje70mqS6HhNo_m4U?e=3zOmKt"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BSEARZMMxMSo5qdJc5AVkiAbYtNGlbpm5VkvBx2qWahdw?e=49ejSn"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Dcz708oXchQKcv_VUZE5yXAf4mSBbh9afDMUy1140V8Fc?e=AOe2bg"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BgQ_4-aTG4Rp84iKlag56FAZmXtEfF5rAnMaYmzBG4ASM?e=0zMs8u"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D_pKImNgeAQLA03yOnMfwlAV_90zEPKhlUmLE7DYg6vbc?e=hTfaVH"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DpltpLUvkLRZ-O_KRZFtAbAY6SmFZ_SZij4Kpokt_43iE?e=i45t6V"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42578125" defaultRowHeight="15"/>
  <cols>
    <col min="1" max="1" width="16.5703125" bestFit="1" customWidth="1"/>
    <col min="2" max="2" width="50.140625" bestFit="1" customWidth="1"/>
  </cols>
  <sheetData>
    <row r="1" spans="1:2">
      <c r="A1" t="s">
        <v>0</v>
      </c>
    </row>
    <row r="2" spans="1:2">
      <c r="A2" s="61" t="s">
        <v>1</v>
      </c>
      <c r="B2" t="s">
        <v>2</v>
      </c>
    </row>
    <row r="3" spans="1:2">
      <c r="A3" s="62" t="s">
        <v>3</v>
      </c>
      <c r="B3">
        <v>87</v>
      </c>
    </row>
    <row r="4" spans="1:2">
      <c r="A4" s="62" t="s">
        <v>4</v>
      </c>
      <c r="B4">
        <v>87</v>
      </c>
    </row>
    <row r="100" spans="1:2">
      <c r="A100" t="s">
        <v>5</v>
      </c>
    </row>
    <row r="102" spans="1:2">
      <c r="A102" s="61" t="s">
        <v>1</v>
      </c>
      <c r="B102" t="s">
        <v>6</v>
      </c>
    </row>
    <row r="103" spans="1:2">
      <c r="A103" s="62" t="s">
        <v>3</v>
      </c>
      <c r="B103" t="e">
        <v>#DIV/0!</v>
      </c>
    </row>
    <row r="104" spans="1:2">
      <c r="A104" s="62" t="s">
        <v>4</v>
      </c>
      <c r="B104" t="e">
        <v>#DIV/0!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42578125" defaultRowHeight="15"/>
  <cols>
    <col min="1" max="1" width="17.140625" style="3" customWidth="1"/>
    <col min="2" max="2" width="24.42578125" style="3" customWidth="1"/>
    <col min="3" max="4" width="52.42578125" style="3" customWidth="1"/>
    <col min="5" max="6" width="28.42578125" style="3" customWidth="1"/>
    <col min="7" max="7" width="31.42578125" style="3" customWidth="1"/>
    <col min="8" max="13" width="25.42578125" style="3" customWidth="1"/>
    <col min="14" max="40" width="24.42578125" style="3" customWidth="1"/>
    <col min="41" max="50" width="23" style="3" customWidth="1"/>
    <col min="51" max="51" width="56.42578125" style="3" customWidth="1"/>
    <col min="52" max="54" width="11.42578125" style="3"/>
    <col min="55" max="56" width="31.42578125" style="3" customWidth="1"/>
    <col min="57" max="57" width="29.42578125" style="3" customWidth="1"/>
    <col min="58" max="58" width="66.5703125" style="3" customWidth="1"/>
    <col min="59" max="61" width="22.5703125" style="3" customWidth="1"/>
    <col min="62" max="63" width="32.42578125" style="3" customWidth="1"/>
    <col min="64" max="66" width="22.5703125" style="3" customWidth="1"/>
    <col min="67" max="88" width="11.42578125" style="3"/>
    <col min="89" max="89" width="5.42578125" style="3" bestFit="1" customWidth="1"/>
    <col min="90" max="16384" width="11.42578125" style="3"/>
  </cols>
  <sheetData>
    <row r="3" spans="1:92" s="1" customFormat="1" ht="32.450000000000003" customHeight="1">
      <c r="A3" s="428" t="s">
        <v>7</v>
      </c>
      <c r="B3" s="428"/>
      <c r="C3" s="428"/>
      <c r="D3" s="428"/>
      <c r="E3" s="428"/>
      <c r="F3" s="428"/>
      <c r="G3" s="428"/>
      <c r="H3" s="428"/>
      <c r="I3" s="428"/>
      <c r="J3" s="428"/>
      <c r="K3" s="428"/>
      <c r="L3" s="428"/>
      <c r="M3" s="475" t="s">
        <v>8</v>
      </c>
      <c r="N3" s="476"/>
      <c r="O3" s="476"/>
      <c r="P3" s="476"/>
      <c r="Q3" s="476"/>
      <c r="R3" s="476"/>
      <c r="S3" s="476"/>
      <c r="T3" s="476"/>
      <c r="U3" s="476"/>
      <c r="V3" s="476"/>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429"/>
      <c r="B4" s="429"/>
      <c r="C4" s="45" t="s">
        <v>9</v>
      </c>
      <c r="D4" s="17"/>
      <c r="E4" s="430" t="s">
        <v>10</v>
      </c>
      <c r="F4" s="430"/>
      <c r="G4" s="481"/>
      <c r="H4" s="481"/>
      <c r="I4" s="481"/>
      <c r="J4" s="481"/>
      <c r="K4" s="481"/>
      <c r="L4" s="481"/>
      <c r="M4" s="477"/>
      <c r="N4" s="478"/>
      <c r="O4" s="478"/>
      <c r="P4" s="478"/>
      <c r="Q4" s="478"/>
      <c r="R4" s="478"/>
      <c r="S4" s="478"/>
      <c r="T4" s="478"/>
      <c r="U4" s="478"/>
      <c r="V4" s="47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429"/>
      <c r="B5" s="429"/>
      <c r="C5" s="20" t="s">
        <v>11</v>
      </c>
      <c r="D5" s="482"/>
      <c r="E5" s="483"/>
      <c r="F5" s="484"/>
      <c r="G5" s="20" t="s">
        <v>12</v>
      </c>
      <c r="H5" s="482"/>
      <c r="I5" s="484"/>
      <c r="J5" s="20" t="s">
        <v>13</v>
      </c>
      <c r="K5" s="482"/>
      <c r="L5" s="484"/>
      <c r="M5" s="477"/>
      <c r="N5" s="478"/>
      <c r="O5" s="478"/>
      <c r="P5" s="478"/>
      <c r="Q5" s="478"/>
      <c r="R5" s="478"/>
      <c r="S5" s="478"/>
      <c r="T5" s="478"/>
      <c r="U5" s="478"/>
      <c r="V5" s="478"/>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429"/>
      <c r="B6" s="429"/>
      <c r="C6" s="46" t="s">
        <v>14</v>
      </c>
      <c r="D6" s="430"/>
      <c r="E6" s="430"/>
      <c r="F6" s="430"/>
      <c r="G6" s="430"/>
      <c r="H6" s="430"/>
      <c r="I6" s="430"/>
      <c r="J6" s="430"/>
      <c r="K6" s="430"/>
      <c r="L6" s="430"/>
      <c r="M6" s="479"/>
      <c r="N6" s="480"/>
      <c r="O6" s="480"/>
      <c r="P6" s="480"/>
      <c r="Q6" s="480"/>
      <c r="R6" s="480"/>
      <c r="S6" s="480"/>
      <c r="T6" s="480"/>
      <c r="U6" s="480"/>
      <c r="V6" s="480"/>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459" t="s">
        <v>15</v>
      </c>
      <c r="BD6" s="459"/>
      <c r="BE6" s="459"/>
      <c r="BF6" s="459"/>
      <c r="BG6" s="459"/>
      <c r="BH6" s="459"/>
      <c r="BI6" s="459"/>
      <c r="BJ6" s="459"/>
      <c r="BK6" s="459"/>
      <c r="BL6" s="459"/>
      <c r="BM6" s="459"/>
      <c r="BN6" s="459"/>
    </row>
    <row r="8" spans="1:92">
      <c r="A8" s="4"/>
      <c r="I8" s="16"/>
      <c r="J8" s="16"/>
      <c r="K8" s="16"/>
      <c r="L8" s="16"/>
      <c r="O8" s="16"/>
      <c r="P8" s="16"/>
      <c r="Q8" s="16"/>
      <c r="R8" s="16"/>
      <c r="U8" s="16"/>
      <c r="V8" s="16"/>
      <c r="W8" s="16"/>
      <c r="X8" s="16"/>
      <c r="Y8" s="16"/>
      <c r="AA8" s="16"/>
      <c r="AB8" s="16"/>
      <c r="AC8" s="16"/>
      <c r="AD8" s="16"/>
      <c r="AE8" s="16"/>
    </row>
    <row r="9" spans="1:92" s="18" customFormat="1" ht="15.6" customHeight="1">
      <c r="G9" s="466" t="s">
        <v>16</v>
      </c>
      <c r="H9" s="467"/>
      <c r="I9" s="467"/>
      <c r="J9" s="467"/>
      <c r="K9" s="467"/>
      <c r="L9" s="468"/>
      <c r="M9" s="469" t="s">
        <v>17</v>
      </c>
      <c r="N9" s="470"/>
      <c r="O9" s="470"/>
      <c r="P9" s="470"/>
      <c r="Q9" s="470"/>
      <c r="R9" s="471"/>
      <c r="S9" s="472" t="s">
        <v>18</v>
      </c>
      <c r="T9" s="473"/>
      <c r="U9" s="473"/>
      <c r="V9" s="473"/>
      <c r="W9" s="473"/>
      <c r="X9" s="474"/>
      <c r="Y9" s="469" t="s">
        <v>19</v>
      </c>
      <c r="Z9" s="470"/>
      <c r="AA9" s="470"/>
      <c r="AB9" s="470"/>
      <c r="AC9" s="470"/>
      <c r="AD9" s="471"/>
      <c r="AE9" s="463" t="s">
        <v>20</v>
      </c>
      <c r="AF9" s="464"/>
      <c r="AG9" s="464"/>
      <c r="AH9" s="464"/>
      <c r="AI9" s="462" t="s">
        <v>21</v>
      </c>
      <c r="AJ9" s="462"/>
      <c r="AO9" s="463" t="s">
        <v>20</v>
      </c>
      <c r="AP9" s="464"/>
      <c r="AQ9" s="464"/>
      <c r="AR9" s="464"/>
      <c r="AS9" s="462" t="s">
        <v>21</v>
      </c>
      <c r="AT9" s="462"/>
    </row>
    <row r="10" spans="1:92" s="18" customFormat="1" ht="97.9" customHeight="1">
      <c r="A10" s="19" t="s">
        <v>22</v>
      </c>
      <c r="B10" s="19" t="s">
        <v>23</v>
      </c>
      <c r="C10" s="19" t="s">
        <v>24</v>
      </c>
      <c r="D10" s="19" t="s">
        <v>25</v>
      </c>
      <c r="E10" s="19" t="s">
        <v>26</v>
      </c>
      <c r="F10" s="19" t="s">
        <v>27</v>
      </c>
      <c r="G10" s="21" t="s">
        <v>28</v>
      </c>
      <c r="H10" s="21" t="s">
        <v>29</v>
      </c>
      <c r="I10" s="21" t="s">
        <v>30</v>
      </c>
      <c r="J10" s="21" t="s">
        <v>31</v>
      </c>
      <c r="K10" s="21" t="s">
        <v>32</v>
      </c>
      <c r="L10" s="21" t="s">
        <v>33</v>
      </c>
      <c r="M10" s="19" t="s">
        <v>34</v>
      </c>
      <c r="N10" s="19" t="s">
        <v>29</v>
      </c>
      <c r="O10" s="19" t="s">
        <v>30</v>
      </c>
      <c r="P10" s="19" t="s">
        <v>31</v>
      </c>
      <c r="Q10" s="19" t="s">
        <v>32</v>
      </c>
      <c r="R10" s="19" t="s">
        <v>33</v>
      </c>
      <c r="S10" s="28" t="s">
        <v>35</v>
      </c>
      <c r="T10" s="28" t="s">
        <v>29</v>
      </c>
      <c r="U10" s="28" t="s">
        <v>30</v>
      </c>
      <c r="V10" s="28" t="s">
        <v>31</v>
      </c>
      <c r="W10" s="28" t="s">
        <v>32</v>
      </c>
      <c r="X10" s="28" t="s">
        <v>33</v>
      </c>
      <c r="Y10" s="19" t="s">
        <v>36</v>
      </c>
      <c r="Z10" s="19" t="s">
        <v>29</v>
      </c>
      <c r="AA10" s="19" t="s">
        <v>30</v>
      </c>
      <c r="AB10" s="19" t="s">
        <v>31</v>
      </c>
      <c r="AC10" s="19" t="s">
        <v>32</v>
      </c>
      <c r="AD10" s="19" t="s">
        <v>33</v>
      </c>
      <c r="AE10" s="21" t="s">
        <v>37</v>
      </c>
      <c r="AF10" s="21" t="s">
        <v>38</v>
      </c>
      <c r="AG10" s="21" t="s">
        <v>39</v>
      </c>
      <c r="AH10" s="21" t="s">
        <v>40</v>
      </c>
      <c r="AI10" s="21" t="s">
        <v>37</v>
      </c>
      <c r="AJ10" s="21" t="s">
        <v>38</v>
      </c>
      <c r="AK10" s="21" t="s">
        <v>41</v>
      </c>
      <c r="AL10" s="21" t="s">
        <v>42</v>
      </c>
      <c r="AM10" s="21" t="s">
        <v>43</v>
      </c>
      <c r="AN10" s="21" t="s">
        <v>44</v>
      </c>
      <c r="AO10" s="71" t="s">
        <v>37</v>
      </c>
      <c r="AP10" s="71" t="s">
        <v>38</v>
      </c>
      <c r="AQ10" s="71" t="s">
        <v>39</v>
      </c>
      <c r="AR10" s="71" t="s">
        <v>40</v>
      </c>
      <c r="AS10" s="71" t="s">
        <v>37</v>
      </c>
      <c r="AT10" s="71" t="s">
        <v>38</v>
      </c>
      <c r="AU10" s="71" t="s">
        <v>41</v>
      </c>
      <c r="AV10" s="71" t="s">
        <v>42</v>
      </c>
      <c r="AW10" s="71" t="s">
        <v>43</v>
      </c>
      <c r="AX10" s="71" t="s">
        <v>44</v>
      </c>
      <c r="AY10" s="71" t="s">
        <v>45</v>
      </c>
      <c r="BC10" s="21" t="s">
        <v>23</v>
      </c>
      <c r="BD10" s="21" t="s">
        <v>46</v>
      </c>
      <c r="BE10" s="21" t="s">
        <v>47</v>
      </c>
      <c r="BF10" s="21" t="s">
        <v>48</v>
      </c>
      <c r="BG10" s="21" t="s">
        <v>49</v>
      </c>
      <c r="BH10" s="21" t="s">
        <v>50</v>
      </c>
      <c r="BI10" s="21" t="s">
        <v>51</v>
      </c>
      <c r="BJ10" s="21" t="s">
        <v>52</v>
      </c>
      <c r="BK10" s="21" t="s">
        <v>53</v>
      </c>
      <c r="BL10" s="21" t="s">
        <v>17</v>
      </c>
      <c r="BM10" s="21" t="s">
        <v>18</v>
      </c>
      <c r="BN10" s="21" t="s">
        <v>54</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460" t="s">
        <v>55</v>
      </c>
      <c r="BG37" s="460"/>
      <c r="BH37" s="460"/>
      <c r="BI37" s="460"/>
      <c r="BJ37" s="460"/>
      <c r="BK37" s="460"/>
      <c r="BL37" s="460"/>
      <c r="BM37" s="461"/>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4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445" t="s">
        <v>56</v>
      </c>
      <c r="BD46" s="446"/>
      <c r="BE46" s="446"/>
      <c r="BF46" s="446"/>
      <c r="BG46" s="446"/>
      <c r="BH46" s="446"/>
      <c r="BI46" s="446"/>
      <c r="BJ46" s="447"/>
      <c r="BK46" s="448" t="s">
        <v>57</v>
      </c>
      <c r="BL46" s="451" t="e">
        <f>SUM(AP98,BN37)</f>
        <v>#DIV/0!</v>
      </c>
      <c r="BM46" s="452"/>
      <c r="CN46" s="7">
        <v>36</v>
      </c>
    </row>
    <row r="47" spans="1:92" s="7" customFormat="1" ht="14.4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457" t="s">
        <v>58</v>
      </c>
      <c r="BD47" s="457"/>
      <c r="BE47" s="457"/>
      <c r="BF47" s="457"/>
      <c r="BG47" s="457"/>
      <c r="BH47" s="457"/>
      <c r="BI47" s="457"/>
      <c r="BJ47" s="457"/>
      <c r="BK47" s="449"/>
      <c r="BL47" s="453"/>
      <c r="BM47" s="454"/>
      <c r="CN47" s="7">
        <v>37</v>
      </c>
    </row>
    <row r="48" spans="1:92" s="7" customFormat="1" ht="14.4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457"/>
      <c r="BD48" s="457"/>
      <c r="BE48" s="457"/>
      <c r="BF48" s="457"/>
      <c r="BG48" s="457"/>
      <c r="BH48" s="457"/>
      <c r="BI48" s="457"/>
      <c r="BJ48" s="457"/>
      <c r="BK48" s="449"/>
      <c r="BL48" s="453"/>
      <c r="BM48" s="454"/>
      <c r="CN48" s="7">
        <v>38</v>
      </c>
    </row>
    <row r="49" spans="1:92" s="7" customFormat="1" ht="14.4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457"/>
      <c r="BD49" s="457"/>
      <c r="BE49" s="457"/>
      <c r="BF49" s="457"/>
      <c r="BG49" s="457"/>
      <c r="BH49" s="457"/>
      <c r="BI49" s="457"/>
      <c r="BJ49" s="457"/>
      <c r="BK49" s="449"/>
      <c r="BL49" s="453"/>
      <c r="BM49" s="454"/>
      <c r="CN49" s="7">
        <v>39</v>
      </c>
    </row>
    <row r="50" spans="1:92" s="7" customFormat="1" ht="14.4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457"/>
      <c r="BD50" s="457"/>
      <c r="BE50" s="457"/>
      <c r="BF50" s="457"/>
      <c r="BG50" s="457"/>
      <c r="BH50" s="457"/>
      <c r="BI50" s="457"/>
      <c r="BJ50" s="457"/>
      <c r="BK50" s="449"/>
      <c r="BL50" s="453"/>
      <c r="BM50" s="454"/>
      <c r="CN50" s="7">
        <v>40</v>
      </c>
    </row>
    <row r="51" spans="1:92" s="7" customFormat="1" ht="14.4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457"/>
      <c r="BD51" s="457"/>
      <c r="BE51" s="457"/>
      <c r="BF51" s="457"/>
      <c r="BG51" s="457"/>
      <c r="BH51" s="457"/>
      <c r="BI51" s="457"/>
      <c r="BJ51" s="457"/>
      <c r="BK51" s="449"/>
      <c r="BL51" s="453"/>
      <c r="BM51" s="454"/>
      <c r="CN51" s="7">
        <v>41</v>
      </c>
    </row>
    <row r="52" spans="1:92" s="7" customFormat="1" ht="14.4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457"/>
      <c r="BD52" s="457"/>
      <c r="BE52" s="457"/>
      <c r="BF52" s="457"/>
      <c r="BG52" s="457"/>
      <c r="BH52" s="457"/>
      <c r="BI52" s="457"/>
      <c r="BJ52" s="457"/>
      <c r="BK52" s="449"/>
      <c r="BL52" s="453"/>
      <c r="BM52" s="454"/>
      <c r="CN52" s="7">
        <v>42</v>
      </c>
    </row>
    <row r="53" spans="1:92" s="7" customFormat="1" ht="14.4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457"/>
      <c r="BD53" s="457"/>
      <c r="BE53" s="457"/>
      <c r="BF53" s="457"/>
      <c r="BG53" s="457"/>
      <c r="BH53" s="457"/>
      <c r="BI53" s="457"/>
      <c r="BJ53" s="457"/>
      <c r="BK53" s="449"/>
      <c r="BL53" s="453"/>
      <c r="BM53" s="454"/>
      <c r="CN53" s="7">
        <v>43</v>
      </c>
    </row>
    <row r="54" spans="1:92" s="7" customFormat="1" ht="14.4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457"/>
      <c r="BD54" s="457"/>
      <c r="BE54" s="457"/>
      <c r="BF54" s="457"/>
      <c r="BG54" s="457"/>
      <c r="BH54" s="457"/>
      <c r="BI54" s="457"/>
      <c r="BJ54" s="457"/>
      <c r="BK54" s="449"/>
      <c r="BL54" s="453"/>
      <c r="BM54" s="454"/>
      <c r="CN54" s="7">
        <v>44</v>
      </c>
    </row>
    <row r="55" spans="1:92" s="7" customFormat="1" ht="14.4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457"/>
      <c r="BD55" s="457"/>
      <c r="BE55" s="457"/>
      <c r="BF55" s="457"/>
      <c r="BG55" s="457"/>
      <c r="BH55" s="457"/>
      <c r="BI55" s="457"/>
      <c r="BJ55" s="457"/>
      <c r="BK55" s="449"/>
      <c r="BL55" s="453"/>
      <c r="BM55" s="454"/>
      <c r="CN55" s="7">
        <v>45</v>
      </c>
    </row>
    <row r="56" spans="1:92" s="7" customFormat="1" ht="14.4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457"/>
      <c r="BD56" s="457"/>
      <c r="BE56" s="457"/>
      <c r="BF56" s="457"/>
      <c r="BG56" s="457"/>
      <c r="BH56" s="457"/>
      <c r="BI56" s="457"/>
      <c r="BJ56" s="457"/>
      <c r="BK56" s="449"/>
      <c r="BL56" s="453"/>
      <c r="BM56" s="454"/>
      <c r="CN56" s="7">
        <v>46</v>
      </c>
    </row>
    <row r="57" spans="1:92" s="7" customFormat="1" ht="14.4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457"/>
      <c r="BD57" s="457"/>
      <c r="BE57" s="457"/>
      <c r="BF57" s="457"/>
      <c r="BG57" s="457"/>
      <c r="BH57" s="457"/>
      <c r="BI57" s="457"/>
      <c r="BJ57" s="457"/>
      <c r="BK57" s="449"/>
      <c r="BL57" s="453"/>
      <c r="BM57" s="454"/>
      <c r="CN57" s="7">
        <v>47</v>
      </c>
    </row>
    <row r="58" spans="1:92" s="7" customFormat="1" ht="14.4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457"/>
      <c r="BD58" s="457"/>
      <c r="BE58" s="457"/>
      <c r="BF58" s="457"/>
      <c r="BG58" s="457"/>
      <c r="BH58" s="457"/>
      <c r="BI58" s="457"/>
      <c r="BJ58" s="457"/>
      <c r="BK58" s="449"/>
      <c r="BL58" s="453"/>
      <c r="BM58" s="454"/>
      <c r="CN58" s="7">
        <v>48</v>
      </c>
    </row>
    <row r="59" spans="1:92" s="7" customFormat="1" ht="14.4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457"/>
      <c r="BD59" s="457"/>
      <c r="BE59" s="457"/>
      <c r="BF59" s="457"/>
      <c r="BG59" s="457"/>
      <c r="BH59" s="457"/>
      <c r="BI59" s="457"/>
      <c r="BJ59" s="457"/>
      <c r="BK59" s="450"/>
      <c r="BL59" s="455"/>
      <c r="BM59" s="456"/>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4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4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445" t="s">
        <v>56</v>
      </c>
      <c r="BZ69" s="446"/>
      <c r="CA69" s="446"/>
      <c r="CB69" s="446"/>
      <c r="CC69" s="446"/>
      <c r="CD69" s="446"/>
      <c r="CE69" s="446"/>
      <c r="CF69" s="447"/>
      <c r="CG69" s="448" t="s">
        <v>57</v>
      </c>
      <c r="CH69" s="451">
        <f>SUM(AF120,BN59)</f>
        <v>0</v>
      </c>
      <c r="CI69" s="452"/>
      <c r="CN69" s="7">
        <v>59</v>
      </c>
    </row>
    <row r="70" spans="1:92" s="7" customFormat="1" ht="14.4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457" t="s">
        <v>58</v>
      </c>
      <c r="BZ70" s="457"/>
      <c r="CA70" s="457"/>
      <c r="CB70" s="457"/>
      <c r="CC70" s="457"/>
      <c r="CD70" s="457"/>
      <c r="CE70" s="457"/>
      <c r="CF70" s="457"/>
      <c r="CG70" s="449"/>
      <c r="CH70" s="453"/>
      <c r="CI70" s="454"/>
      <c r="CN70" s="7">
        <v>60</v>
      </c>
    </row>
    <row r="71" spans="1:92" s="7" customFormat="1" ht="14.4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457"/>
      <c r="BZ71" s="457"/>
      <c r="CA71" s="457"/>
      <c r="CB71" s="457"/>
      <c r="CC71" s="457"/>
      <c r="CD71" s="457"/>
      <c r="CE71" s="457"/>
      <c r="CF71" s="457"/>
      <c r="CG71" s="449"/>
      <c r="CH71" s="453"/>
      <c r="CI71" s="454"/>
      <c r="CN71" s="7">
        <v>61</v>
      </c>
    </row>
    <row r="72" spans="1:92" s="7" customFormat="1" ht="14.4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457"/>
      <c r="BZ72" s="457"/>
      <c r="CA72" s="457"/>
      <c r="CB72" s="457"/>
      <c r="CC72" s="457"/>
      <c r="CD72" s="457"/>
      <c r="CE72" s="457"/>
      <c r="CF72" s="457"/>
      <c r="CG72" s="449"/>
      <c r="CH72" s="453"/>
      <c r="CI72" s="454"/>
      <c r="CN72" s="7">
        <v>62</v>
      </c>
    </row>
    <row r="73" spans="1:92" s="7" customFormat="1" ht="14.4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457"/>
      <c r="BZ73" s="457"/>
      <c r="CA73" s="457"/>
      <c r="CB73" s="457"/>
      <c r="CC73" s="457"/>
      <c r="CD73" s="457"/>
      <c r="CE73" s="457"/>
      <c r="CF73" s="457"/>
      <c r="CG73" s="449"/>
      <c r="CH73" s="453"/>
      <c r="CI73" s="454"/>
      <c r="CN73" s="7">
        <v>63</v>
      </c>
    </row>
    <row r="74" spans="1:92" s="7" customFormat="1" ht="14.4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457"/>
      <c r="BZ74" s="457"/>
      <c r="CA74" s="457"/>
      <c r="CB74" s="457"/>
      <c r="CC74" s="457"/>
      <c r="CD74" s="457"/>
      <c r="CE74" s="457"/>
      <c r="CF74" s="457"/>
      <c r="CG74" s="449"/>
      <c r="CH74" s="453"/>
      <c r="CI74" s="454"/>
      <c r="CN74" s="7">
        <v>64</v>
      </c>
    </row>
    <row r="75" spans="1:92" s="7" customFormat="1" ht="14.4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457"/>
      <c r="BZ75" s="457"/>
      <c r="CA75" s="457"/>
      <c r="CB75" s="457"/>
      <c r="CC75" s="457"/>
      <c r="CD75" s="457"/>
      <c r="CE75" s="457"/>
      <c r="CF75" s="457"/>
      <c r="CG75" s="449"/>
      <c r="CH75" s="453"/>
      <c r="CI75" s="454"/>
      <c r="CN75" s="7">
        <v>65</v>
      </c>
    </row>
    <row r="76" spans="1:92" s="7" customFormat="1" ht="14.4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457"/>
      <c r="BZ76" s="457"/>
      <c r="CA76" s="457"/>
      <c r="CB76" s="457"/>
      <c r="CC76" s="457"/>
      <c r="CD76" s="457"/>
      <c r="CE76" s="457"/>
      <c r="CF76" s="457"/>
      <c r="CG76" s="449"/>
      <c r="CH76" s="453"/>
      <c r="CI76" s="454"/>
      <c r="CN76" s="7">
        <v>66</v>
      </c>
    </row>
    <row r="77" spans="1:92" s="7" customFormat="1" ht="14.4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457"/>
      <c r="BZ77" s="457"/>
      <c r="CA77" s="457"/>
      <c r="CB77" s="457"/>
      <c r="CC77" s="457"/>
      <c r="CD77" s="457"/>
      <c r="CE77" s="457"/>
      <c r="CF77" s="457"/>
      <c r="CG77" s="449"/>
      <c r="CH77" s="453"/>
      <c r="CI77" s="454"/>
      <c r="CN77" s="7">
        <v>67</v>
      </c>
    </row>
    <row r="78" spans="1:92" s="7" customFormat="1" ht="14.4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457"/>
      <c r="BZ78" s="457"/>
      <c r="CA78" s="457"/>
      <c r="CB78" s="457"/>
      <c r="CC78" s="457"/>
      <c r="CD78" s="457"/>
      <c r="CE78" s="457"/>
      <c r="CF78" s="457"/>
      <c r="CG78" s="449"/>
      <c r="CH78" s="453"/>
      <c r="CI78" s="454"/>
      <c r="CN78" s="7">
        <v>68</v>
      </c>
    </row>
    <row r="79" spans="1:92" s="7" customFormat="1" ht="14.4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457"/>
      <c r="BZ79" s="457"/>
      <c r="CA79" s="457"/>
      <c r="CB79" s="457"/>
      <c r="CC79" s="457"/>
      <c r="CD79" s="457"/>
      <c r="CE79" s="457"/>
      <c r="CF79" s="457"/>
      <c r="CG79" s="449"/>
      <c r="CH79" s="453"/>
      <c r="CI79" s="454"/>
      <c r="CN79" s="7">
        <v>69</v>
      </c>
    </row>
    <row r="80" spans="1:92" s="7" customFormat="1" ht="14.4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457"/>
      <c r="BZ80" s="457"/>
      <c r="CA80" s="457"/>
      <c r="CB80" s="457"/>
      <c r="CC80" s="457"/>
      <c r="CD80" s="457"/>
      <c r="CE80" s="457"/>
      <c r="CF80" s="457"/>
      <c r="CG80" s="449"/>
      <c r="CH80" s="453"/>
      <c r="CI80" s="454"/>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457"/>
      <c r="BZ81" s="457"/>
      <c r="CA81" s="457"/>
      <c r="CB81" s="457"/>
      <c r="CC81" s="457"/>
      <c r="CD81" s="457"/>
      <c r="CE81" s="457"/>
      <c r="CF81" s="457"/>
      <c r="CG81" s="449"/>
      <c r="CH81" s="453"/>
      <c r="CI81" s="454"/>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457"/>
      <c r="BZ82" s="457"/>
      <c r="CA82" s="457"/>
      <c r="CB82" s="457"/>
      <c r="CC82" s="457"/>
      <c r="CD82" s="457"/>
      <c r="CE82" s="457"/>
      <c r="CF82" s="457"/>
      <c r="CG82" s="450"/>
      <c r="CH82" s="455"/>
      <c r="CI82" s="456"/>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45" customHeight="1">
      <c r="A98" s="458" t="s">
        <v>59</v>
      </c>
      <c r="B98" s="458"/>
      <c r="C98" s="458"/>
      <c r="D98" s="458"/>
      <c r="E98" s="458"/>
      <c r="F98" s="458"/>
      <c r="G98" s="458"/>
      <c r="H98" s="458"/>
      <c r="I98" s="458"/>
      <c r="J98" s="458"/>
      <c r="K98" s="458"/>
      <c r="L98" s="458"/>
      <c r="M98" s="458"/>
      <c r="N98" s="458"/>
      <c r="O98" s="458"/>
      <c r="P98" s="458"/>
      <c r="Q98" s="458"/>
      <c r="R98" s="458"/>
      <c r="S98" s="458"/>
      <c r="T98" s="458"/>
      <c r="U98" s="458"/>
      <c r="V98" s="458"/>
      <c r="W98" s="458"/>
      <c r="X98" s="458"/>
      <c r="Y98" s="458"/>
      <c r="Z98" s="458"/>
      <c r="AA98" s="458"/>
      <c r="AB98" s="458"/>
      <c r="AC98" s="458"/>
      <c r="AD98" s="458"/>
      <c r="AE98" s="458"/>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c r="A100" s="465"/>
      <c r="B100" s="465"/>
      <c r="C100" s="465"/>
      <c r="D100" s="465"/>
      <c r="E100" s="465"/>
      <c r="F100" s="465"/>
      <c r="G100" s="465"/>
      <c r="H100" s="465"/>
      <c r="I100" s="465"/>
      <c r="J100" s="465"/>
      <c r="K100" s="465"/>
      <c r="L100" s="465"/>
      <c r="M100" s="465"/>
      <c r="N100" s="465"/>
      <c r="O100" s="465"/>
      <c r="P100" s="465"/>
      <c r="Q100" s="465"/>
      <c r="R100" s="465"/>
      <c r="S100" s="465"/>
      <c r="T100" s="465"/>
      <c r="U100" s="465"/>
      <c r="V100" s="465"/>
      <c r="W100" s="465"/>
      <c r="X100" s="465"/>
      <c r="Y100" s="465"/>
      <c r="Z100" s="465"/>
      <c r="AA100" s="465"/>
      <c r="AB100" s="465"/>
      <c r="AC100" s="465"/>
      <c r="AD100" s="465"/>
      <c r="AE100" s="465"/>
      <c r="AF100" s="465"/>
      <c r="AG100" s="465"/>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6" customHeight="1">
      <c r="AL103" s="72"/>
      <c r="AM103" s="72"/>
      <c r="AN103" s="72"/>
      <c r="AO103" s="72"/>
      <c r="AP103" s="72"/>
      <c r="AQ103" s="72"/>
      <c r="AR103" s="72"/>
      <c r="CN103" s="7">
        <v>92</v>
      </c>
    </row>
    <row r="104" spans="1:92" s="7" customFormat="1" ht="30.6" customHeight="1">
      <c r="AL104" s="72"/>
      <c r="AM104" s="72"/>
      <c r="AN104" s="72"/>
      <c r="AO104" s="72"/>
      <c r="AP104" s="72"/>
      <c r="AQ104" s="72"/>
      <c r="AR104" s="72"/>
      <c r="CN104" s="7">
        <v>92</v>
      </c>
    </row>
    <row r="105" spans="1:92" s="7" customFormat="1" ht="30.6" customHeight="1">
      <c r="AL105" s="72"/>
      <c r="AM105" s="72"/>
      <c r="AN105" s="72"/>
      <c r="AO105" s="72"/>
      <c r="AP105" s="72"/>
      <c r="AQ105" s="72"/>
      <c r="AR105" s="72"/>
    </row>
    <row r="106" spans="1:92" s="7" customFormat="1" ht="30.6" customHeight="1">
      <c r="A106" s="72"/>
      <c r="B106" s="72"/>
      <c r="C106" s="72"/>
      <c r="D106" s="72"/>
      <c r="E106" s="72"/>
      <c r="F106" s="72"/>
      <c r="G106" s="72"/>
    </row>
    <row r="107" spans="1:92" s="7" customFormat="1" ht="30.6" customHeight="1">
      <c r="A107" s="72"/>
      <c r="B107" s="72"/>
      <c r="C107" s="72"/>
      <c r="D107" s="72"/>
      <c r="E107" s="72"/>
      <c r="F107" s="72"/>
      <c r="G107" s="72"/>
    </row>
    <row r="108" spans="1:92" s="7" customFormat="1" ht="30.6" customHeight="1">
      <c r="A108" s="72"/>
      <c r="B108" s="72"/>
      <c r="C108" s="72"/>
      <c r="D108" s="72"/>
      <c r="E108" s="72"/>
      <c r="F108" s="72"/>
      <c r="G108" s="72"/>
      <c r="AO108" s="59"/>
    </row>
    <row r="109" spans="1:92" s="7" customFormat="1" ht="30.6" customHeight="1">
      <c r="A109" s="72"/>
      <c r="B109" s="72"/>
      <c r="C109" s="72"/>
      <c r="D109" s="72"/>
      <c r="E109" s="72"/>
      <c r="F109" s="72"/>
      <c r="G109" s="72"/>
    </row>
    <row r="110" spans="1:92" s="7" customFormat="1" ht="30.6" customHeight="1">
      <c r="A110" s="72"/>
      <c r="B110" s="72"/>
      <c r="C110" s="72"/>
      <c r="D110" s="72"/>
      <c r="E110" s="72"/>
      <c r="F110" s="72"/>
      <c r="G110" s="72"/>
    </row>
    <row r="111" spans="1:92" s="7" customFormat="1" ht="30.6" customHeight="1">
      <c r="A111" s="72"/>
      <c r="B111" s="72"/>
      <c r="C111" s="72"/>
      <c r="D111" s="72"/>
      <c r="E111" s="72"/>
      <c r="F111" s="72"/>
      <c r="G111" s="72"/>
    </row>
    <row r="112" spans="1:92" s="7" customFormat="1" ht="30.6" customHeight="1">
      <c r="A112" s="72"/>
      <c r="B112" s="72"/>
      <c r="C112" s="72"/>
      <c r="D112" s="72"/>
      <c r="E112" s="72"/>
      <c r="F112" s="72"/>
      <c r="G112" s="72"/>
    </row>
    <row r="113" spans="1:92" s="7" customFormat="1" ht="30.6" customHeight="1">
      <c r="A113" s="72"/>
      <c r="B113" s="72"/>
      <c r="C113" s="72"/>
      <c r="D113" s="72"/>
      <c r="E113" s="72"/>
      <c r="F113" s="72"/>
      <c r="G113" s="72"/>
    </row>
    <row r="114" spans="1:92" s="7" customFormat="1" ht="30.6" customHeight="1">
      <c r="A114" s="72"/>
      <c r="B114" s="72"/>
      <c r="C114" s="72"/>
      <c r="D114" s="72"/>
      <c r="E114" s="72"/>
      <c r="F114" s="72"/>
      <c r="G114" s="72"/>
    </row>
    <row r="115" spans="1:92" s="7" customFormat="1" ht="30.6" customHeight="1">
      <c r="A115" s="72"/>
      <c r="B115" s="72"/>
      <c r="C115" s="72"/>
      <c r="D115" s="72"/>
      <c r="E115" s="72"/>
      <c r="F115" s="72"/>
      <c r="G115" s="72"/>
    </row>
    <row r="116" spans="1:92" s="7" customFormat="1" ht="30.6" customHeight="1">
      <c r="A116" s="72"/>
      <c r="B116" s="72"/>
      <c r="C116" s="72"/>
      <c r="D116" s="72"/>
      <c r="E116" s="72"/>
      <c r="F116" s="72"/>
      <c r="G116" s="72"/>
    </row>
    <row r="117" spans="1:92" s="7" customFormat="1" ht="30.6" customHeight="1">
      <c r="A117" s="72"/>
      <c r="B117" s="72"/>
      <c r="C117" s="72"/>
      <c r="D117" s="72"/>
      <c r="E117" s="72"/>
      <c r="F117" s="72"/>
      <c r="G117" s="72"/>
    </row>
    <row r="118" spans="1:92" s="7" customFormat="1" ht="30.6" customHeight="1">
      <c r="A118" s="72"/>
      <c r="B118" s="72"/>
      <c r="C118" s="72"/>
      <c r="D118" s="72"/>
      <c r="E118" s="72"/>
      <c r="F118" s="72"/>
      <c r="G118" s="72"/>
    </row>
    <row r="119" spans="1:92" s="7" customFormat="1" ht="30.6" customHeight="1">
      <c r="A119" s="72"/>
      <c r="B119" s="72"/>
      <c r="C119" s="72"/>
      <c r="D119" s="72"/>
      <c r="E119" s="72"/>
      <c r="F119" s="72"/>
      <c r="G119" s="72"/>
    </row>
    <row r="120" spans="1:92" s="7" customFormat="1" ht="30.6" customHeight="1">
      <c r="A120" s="72"/>
      <c r="B120" s="72"/>
      <c r="C120" s="72"/>
      <c r="D120" s="72"/>
      <c r="E120" s="72"/>
      <c r="F120" s="72"/>
      <c r="G120" s="72"/>
    </row>
    <row r="121" spans="1:92" s="7" customFormat="1" ht="30.6" customHeight="1">
      <c r="A121" s="72"/>
      <c r="B121" s="72"/>
      <c r="C121" s="72"/>
      <c r="D121" s="72"/>
      <c r="E121" s="72"/>
      <c r="F121" s="72"/>
      <c r="G121" s="72"/>
    </row>
    <row r="122" spans="1:92" s="7" customFormat="1" ht="30.6" customHeight="1">
      <c r="A122" s="72"/>
      <c r="B122" s="72"/>
      <c r="C122" s="72"/>
      <c r="D122" s="72"/>
      <c r="E122" s="72"/>
      <c r="F122" s="72"/>
      <c r="G122" s="72"/>
    </row>
    <row r="123" spans="1:92" s="7" customFormat="1" ht="30.6" customHeight="1">
      <c r="A123" s="72"/>
      <c r="B123" s="72"/>
      <c r="C123" s="72"/>
      <c r="D123" s="72"/>
      <c r="E123" s="72"/>
      <c r="F123" s="72"/>
      <c r="G123" s="72"/>
      <c r="CN123" s="7">
        <v>92</v>
      </c>
    </row>
    <row r="124" spans="1:92" s="7" customFormat="1" ht="30.6" customHeight="1">
      <c r="A124" s="72"/>
      <c r="B124" s="72"/>
      <c r="C124" s="72"/>
      <c r="D124" s="72"/>
      <c r="E124" s="72"/>
      <c r="F124" s="72"/>
      <c r="G124" s="72"/>
      <c r="CN124" s="7">
        <v>93</v>
      </c>
    </row>
    <row r="125" spans="1:92" s="7" customFormat="1" ht="30.6" customHeight="1">
      <c r="A125" s="72"/>
      <c r="B125" s="72"/>
      <c r="C125" s="72"/>
      <c r="D125" s="72"/>
      <c r="E125" s="72"/>
      <c r="F125" s="72"/>
      <c r="G125" s="72"/>
      <c r="CN125" s="7">
        <v>94</v>
      </c>
    </row>
    <row r="126" spans="1:92" s="7" customFormat="1" ht="30.6" customHeight="1">
      <c r="A126" s="72"/>
      <c r="B126" s="72"/>
      <c r="C126" s="72"/>
      <c r="D126" s="72"/>
      <c r="E126" s="72"/>
      <c r="F126" s="72"/>
      <c r="G126" s="72"/>
      <c r="CN126" s="7">
        <v>95</v>
      </c>
    </row>
    <row r="127" spans="1:92" s="7" customFormat="1" ht="30.6" customHeight="1">
      <c r="A127" s="72"/>
      <c r="B127" s="72"/>
      <c r="C127" s="72"/>
      <c r="D127" s="72"/>
      <c r="E127" s="72"/>
      <c r="F127" s="72"/>
      <c r="G127" s="72"/>
      <c r="CN127" s="7">
        <v>96</v>
      </c>
    </row>
    <row r="128" spans="1:92" s="7" customFormat="1" ht="30.6" customHeight="1">
      <c r="A128" s="72"/>
      <c r="B128" s="72"/>
      <c r="C128" s="72"/>
      <c r="D128" s="72"/>
      <c r="E128" s="72"/>
      <c r="F128" s="72"/>
      <c r="G128" s="72"/>
      <c r="CN128" s="7">
        <v>97</v>
      </c>
    </row>
    <row r="129" spans="1:92" s="7" customFormat="1" ht="30.6"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A3:L3"/>
    <mergeCell ref="M3:V6"/>
    <mergeCell ref="A4:B6"/>
    <mergeCell ref="E4:F4"/>
    <mergeCell ref="G4:L4"/>
    <mergeCell ref="D5:F5"/>
    <mergeCell ref="D6:L6"/>
    <mergeCell ref="H5:I5"/>
    <mergeCell ref="K5:L5"/>
    <mergeCell ref="AI9:AJ9"/>
    <mergeCell ref="AO9:AR9"/>
    <mergeCell ref="AS9:AT9"/>
    <mergeCell ref="A100:AG100"/>
    <mergeCell ref="G9:L9"/>
    <mergeCell ref="M9:R9"/>
    <mergeCell ref="S9:X9"/>
    <mergeCell ref="Y9:AD9"/>
    <mergeCell ref="AE9:AH9"/>
    <mergeCell ref="BC6:BN6"/>
    <mergeCell ref="BF37:BM37"/>
    <mergeCell ref="BC46:BJ46"/>
    <mergeCell ref="BK46:BK59"/>
    <mergeCell ref="BL46:BM59"/>
    <mergeCell ref="BC47:BJ59"/>
    <mergeCell ref="BY69:CF69"/>
    <mergeCell ref="CG69:CG82"/>
    <mergeCell ref="CH69:CI82"/>
    <mergeCell ref="BY70:CF82"/>
    <mergeCell ref="A98:AE98"/>
  </mergeCells>
  <conditionalFormatting sqref="AH11:AH97">
    <cfRule type="cellIs" dxfId="27" priority="2" stopIfTrue="1" operator="greaterThan">
      <formula>0.2</formula>
    </cfRule>
  </conditionalFormatting>
  <conditionalFormatting sqref="AR11:AR97">
    <cfRule type="cellIs" dxfId="26"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42578125" defaultRowHeight="1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42578125" defaultRowHeight="15"/>
  <cols>
    <col min="12" max="12" width="36.42578125" customWidth="1"/>
    <col min="14" max="14" width="16.42578125" customWidth="1"/>
    <col min="16" max="16" width="49.42578125" customWidth="1"/>
  </cols>
  <sheetData>
    <row r="2" spans="1:22">
      <c r="A2" t="s">
        <v>60</v>
      </c>
      <c r="C2" t="s">
        <v>61</v>
      </c>
    </row>
    <row r="3" spans="1:22">
      <c r="A3" t="s">
        <v>62</v>
      </c>
      <c r="C3" t="s">
        <v>63</v>
      </c>
    </row>
    <row r="7" spans="1:22" ht="90">
      <c r="A7" s="11" t="s">
        <v>64</v>
      </c>
      <c r="C7" s="11" t="s">
        <v>65</v>
      </c>
      <c r="F7" s="11" t="s">
        <v>66</v>
      </c>
      <c r="H7" s="11" t="s">
        <v>67</v>
      </c>
      <c r="J7" s="11" t="s">
        <v>68</v>
      </c>
      <c r="L7" s="48" t="s">
        <v>69</v>
      </c>
      <c r="N7" s="11" t="s">
        <v>70</v>
      </c>
      <c r="P7" s="11" t="s">
        <v>71</v>
      </c>
      <c r="R7" s="11" t="s">
        <v>72</v>
      </c>
      <c r="T7" t="s">
        <v>73</v>
      </c>
      <c r="V7" t="s">
        <v>74</v>
      </c>
    </row>
    <row r="8" spans="1:22">
      <c r="A8" t="s">
        <v>75</v>
      </c>
      <c r="C8" t="s">
        <v>76</v>
      </c>
      <c r="F8" t="s">
        <v>77</v>
      </c>
      <c r="H8" t="s">
        <v>78</v>
      </c>
      <c r="J8" t="s">
        <v>79</v>
      </c>
      <c r="L8" s="14" t="s">
        <v>80</v>
      </c>
      <c r="N8" t="s">
        <v>81</v>
      </c>
      <c r="P8" s="13" t="s">
        <v>82</v>
      </c>
      <c r="R8" t="s">
        <v>83</v>
      </c>
      <c r="T8" t="s">
        <v>84</v>
      </c>
      <c r="V8" t="s">
        <v>85</v>
      </c>
    </row>
    <row r="9" spans="1:22" ht="30">
      <c r="A9" t="s">
        <v>86</v>
      </c>
      <c r="C9" t="s">
        <v>87</v>
      </c>
      <c r="F9" t="s">
        <v>88</v>
      </c>
      <c r="H9" t="s">
        <v>89</v>
      </c>
      <c r="J9" t="s">
        <v>90</v>
      </c>
      <c r="L9" s="14" t="s">
        <v>91</v>
      </c>
      <c r="N9" t="s">
        <v>92</v>
      </c>
      <c r="P9" s="13" t="s">
        <v>93</v>
      </c>
      <c r="R9" t="s">
        <v>94</v>
      </c>
      <c r="T9" t="s">
        <v>95</v>
      </c>
      <c r="V9" t="s">
        <v>96</v>
      </c>
    </row>
    <row r="10" spans="1:22">
      <c r="A10" t="s">
        <v>97</v>
      </c>
      <c r="C10" t="s">
        <v>98</v>
      </c>
      <c r="H10" t="s">
        <v>99</v>
      </c>
      <c r="J10" t="s">
        <v>100</v>
      </c>
      <c r="L10" s="14" t="s">
        <v>101</v>
      </c>
      <c r="N10" t="s">
        <v>102</v>
      </c>
      <c r="P10" s="13" t="s">
        <v>103</v>
      </c>
      <c r="R10" t="s">
        <v>104</v>
      </c>
      <c r="T10" t="s">
        <v>105</v>
      </c>
      <c r="V10" t="s">
        <v>106</v>
      </c>
    </row>
    <row r="11" spans="1:22">
      <c r="A11" t="s">
        <v>107</v>
      </c>
      <c r="C11" t="s">
        <v>108</v>
      </c>
      <c r="H11" t="s">
        <v>109</v>
      </c>
      <c r="J11" t="s">
        <v>110</v>
      </c>
      <c r="L11" s="14" t="s">
        <v>111</v>
      </c>
      <c r="T11" t="s">
        <v>112</v>
      </c>
      <c r="V11" t="s">
        <v>113</v>
      </c>
    </row>
    <row r="12" spans="1:22" ht="30">
      <c r="C12" s="7"/>
      <c r="D12" s="7"/>
      <c r="E12" s="7"/>
      <c r="F12" s="7"/>
      <c r="G12" s="7"/>
      <c r="H12" s="7" t="s">
        <v>114</v>
      </c>
      <c r="I12" s="7"/>
      <c r="J12" s="7" t="s">
        <v>115</v>
      </c>
      <c r="K12" s="7"/>
      <c r="L12" s="14" t="s">
        <v>116</v>
      </c>
      <c r="M12" s="7"/>
      <c r="N12" s="7"/>
      <c r="T12" t="s">
        <v>117</v>
      </c>
      <c r="V12" t="s">
        <v>118</v>
      </c>
    </row>
    <row r="13" spans="1:22">
      <c r="H13" t="s">
        <v>119</v>
      </c>
      <c r="I13" s="15"/>
      <c r="J13" s="15" t="s">
        <v>120</v>
      </c>
      <c r="L13" s="14" t="s">
        <v>121</v>
      </c>
      <c r="T13" t="s">
        <v>122</v>
      </c>
      <c r="V13" t="s">
        <v>123</v>
      </c>
    </row>
    <row r="14" spans="1:22">
      <c r="H14" t="s">
        <v>124</v>
      </c>
      <c r="I14" s="15"/>
      <c r="J14" s="15" t="s">
        <v>125</v>
      </c>
      <c r="L14" s="14" t="s">
        <v>126</v>
      </c>
      <c r="T14" t="s">
        <v>127</v>
      </c>
      <c r="V14" t="s">
        <v>128</v>
      </c>
    </row>
    <row r="15" spans="1:22">
      <c r="G15" s="15"/>
      <c r="H15" s="15" t="s">
        <v>129</v>
      </c>
      <c r="I15" s="15"/>
      <c r="J15" s="15" t="s">
        <v>130</v>
      </c>
      <c r="K15" s="15"/>
      <c r="L15" s="14" t="s">
        <v>131</v>
      </c>
      <c r="M15" s="15"/>
      <c r="N15" s="15"/>
      <c r="T15" t="s">
        <v>132</v>
      </c>
    </row>
    <row r="16" spans="1:22" ht="60">
      <c r="A16" s="11" t="s">
        <v>133</v>
      </c>
      <c r="J16" t="s">
        <v>134</v>
      </c>
      <c r="L16" s="14" t="s">
        <v>135</v>
      </c>
      <c r="T16" t="s">
        <v>136</v>
      </c>
    </row>
    <row r="17" spans="1:20">
      <c r="A17" t="s">
        <v>137</v>
      </c>
      <c r="J17" t="s">
        <v>138</v>
      </c>
      <c r="L17" s="14" t="s">
        <v>139</v>
      </c>
      <c r="T17" t="s">
        <v>140</v>
      </c>
    </row>
    <row r="18" spans="1:20">
      <c r="A18" t="s">
        <v>141</v>
      </c>
      <c r="J18" t="s">
        <v>142</v>
      </c>
      <c r="L18" s="14" t="s">
        <v>143</v>
      </c>
      <c r="T18" t="s">
        <v>144</v>
      </c>
    </row>
    <row r="19" spans="1:20">
      <c r="J19" t="s">
        <v>145</v>
      </c>
      <c r="L19" s="14" t="s">
        <v>146</v>
      </c>
    </row>
    <row r="20" spans="1:20">
      <c r="J20" t="s">
        <v>147</v>
      </c>
      <c r="L20" s="14" t="s">
        <v>148</v>
      </c>
    </row>
    <row r="21" spans="1:20">
      <c r="J21" t="s">
        <v>149</v>
      </c>
      <c r="L21" s="12"/>
    </row>
    <row r="22" spans="1:20">
      <c r="J22" t="s">
        <v>150</v>
      </c>
    </row>
    <row r="23" spans="1:20">
      <c r="J23" t="s">
        <v>151</v>
      </c>
    </row>
    <row r="24" spans="1:20">
      <c r="J24" t="s">
        <v>152</v>
      </c>
    </row>
    <row r="25" spans="1:20">
      <c r="A25" t="s">
        <v>153</v>
      </c>
      <c r="J25" t="s">
        <v>154</v>
      </c>
    </row>
    <row r="26" spans="1:20">
      <c r="J26" t="s">
        <v>155</v>
      </c>
    </row>
    <row r="27" spans="1:20">
      <c r="J27" t="s">
        <v>156</v>
      </c>
    </row>
  </sheetData>
  <sortState xmlns:xlrd2="http://schemas.microsoft.com/office/spreadsheetml/2017/richdata2" ref="V8:V14">
    <sortCondition ref="V8:V14"/>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dimension ref="A1:BB427"/>
  <sheetViews>
    <sheetView workbookViewId="0">
      <selection activeCell="A3" sqref="A3"/>
    </sheetView>
  </sheetViews>
  <sheetFormatPr defaultColWidth="11.42578125" defaultRowHeight="15"/>
  <cols>
    <col min="3" max="3" width="11.85546875" bestFit="1" customWidth="1"/>
    <col min="4" max="4" width="19.42578125" customWidth="1"/>
    <col min="5" max="5" width="48" customWidth="1"/>
    <col min="7" max="7" width="11.85546875" bestFit="1" customWidth="1"/>
    <col min="10" max="10" width="11.85546875" bestFit="1" customWidth="1"/>
    <col min="12" max="12" width="14.5703125" customWidth="1"/>
    <col min="14" max="14" width="13.85546875" bestFit="1" customWidth="1"/>
    <col min="17" max="17" width="13.85546875" bestFit="1" customWidth="1"/>
    <col min="18" max="19" width="11.85546875" bestFit="1" customWidth="1"/>
    <col min="20" max="21" width="12.42578125" bestFit="1" customWidth="1"/>
    <col min="23" max="23" width="11.85546875" bestFit="1" customWidth="1"/>
    <col min="27" max="27" width="13.85546875" bestFit="1" customWidth="1"/>
    <col min="30" max="30" width="13.85546875" bestFit="1" customWidth="1"/>
    <col min="31" max="32" width="11.85546875" bestFit="1" customWidth="1"/>
    <col min="33" max="34" width="12.42578125" bestFit="1" customWidth="1"/>
    <col min="36" max="36" width="11.85546875" bestFit="1" customWidth="1"/>
    <col min="40" max="40" width="13.85546875" bestFit="1" customWidth="1"/>
    <col min="43" max="43" width="13.85546875" bestFit="1" customWidth="1"/>
    <col min="44" max="45" width="11.85546875" bestFit="1" customWidth="1"/>
    <col min="46" max="47" width="12.42578125" bestFit="1" customWidth="1"/>
    <col min="48" max="49" width="14.85546875" bestFit="1" customWidth="1"/>
    <col min="50" max="50" width="13.85546875" bestFit="1" customWidth="1"/>
    <col min="51" max="51" width="11.85546875" bestFit="1" customWidth="1"/>
    <col min="53" max="53" width="11.855468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 r="A2" s="83" t="s">
        <v>157</v>
      </c>
      <c r="B2" s="83" t="s">
        <v>158</v>
      </c>
      <c r="C2" s="83" t="s">
        <v>159</v>
      </c>
      <c r="D2" s="83" t="s">
        <v>24</v>
      </c>
      <c r="E2" s="83" t="s">
        <v>25</v>
      </c>
      <c r="F2" s="83" t="s">
        <v>26</v>
      </c>
      <c r="G2" s="83" t="s">
        <v>27</v>
      </c>
      <c r="H2" s="83" t="s">
        <v>160</v>
      </c>
      <c r="I2" s="84" t="s">
        <v>161</v>
      </c>
      <c r="J2" s="84" t="s">
        <v>162</v>
      </c>
      <c r="K2" s="84" t="s">
        <v>163</v>
      </c>
      <c r="L2" s="84" t="s">
        <v>164</v>
      </c>
      <c r="M2" s="84" t="s">
        <v>28</v>
      </c>
      <c r="N2" s="85" t="s">
        <v>165</v>
      </c>
      <c r="O2" s="84" t="s">
        <v>166</v>
      </c>
      <c r="P2" s="84" t="s">
        <v>167</v>
      </c>
      <c r="Q2" s="84" t="s">
        <v>168</v>
      </c>
      <c r="R2" s="84" t="s">
        <v>30</v>
      </c>
      <c r="S2" s="84" t="s">
        <v>31</v>
      </c>
      <c r="T2" s="84" t="s">
        <v>32</v>
      </c>
      <c r="U2" s="84" t="s">
        <v>33</v>
      </c>
      <c r="V2" s="83" t="s">
        <v>169</v>
      </c>
      <c r="W2" s="83" t="s">
        <v>170</v>
      </c>
      <c r="X2" s="83" t="s">
        <v>171</v>
      </c>
      <c r="Y2" s="83" t="s">
        <v>172</v>
      </c>
      <c r="Z2" s="83" t="s">
        <v>34</v>
      </c>
      <c r="AA2" s="83" t="s">
        <v>173</v>
      </c>
      <c r="AB2" s="83" t="s">
        <v>166</v>
      </c>
      <c r="AC2" s="83" t="s">
        <v>167</v>
      </c>
      <c r="AD2" s="83" t="s">
        <v>29</v>
      </c>
      <c r="AE2" s="83" t="s">
        <v>30</v>
      </c>
      <c r="AF2" s="83" t="s">
        <v>31</v>
      </c>
      <c r="AG2" s="83" t="s">
        <v>32</v>
      </c>
      <c r="AH2" s="83" t="s">
        <v>33</v>
      </c>
      <c r="AI2" s="86" t="s">
        <v>174</v>
      </c>
      <c r="AJ2" s="86" t="s">
        <v>175</v>
      </c>
      <c r="AK2" s="86" t="s">
        <v>176</v>
      </c>
      <c r="AL2" s="86" t="s">
        <v>177</v>
      </c>
      <c r="AM2" s="86" t="s">
        <v>35</v>
      </c>
      <c r="AN2" s="86" t="s">
        <v>173</v>
      </c>
      <c r="AO2" s="86" t="s">
        <v>166</v>
      </c>
      <c r="AP2" s="86" t="s">
        <v>167</v>
      </c>
      <c r="AQ2" s="87" t="s">
        <v>29</v>
      </c>
      <c r="AR2" s="87" t="s">
        <v>30</v>
      </c>
      <c r="AS2" s="87" t="s">
        <v>31</v>
      </c>
      <c r="AT2" s="87" t="s">
        <v>32</v>
      </c>
      <c r="AU2" s="87" t="s">
        <v>33</v>
      </c>
      <c r="AV2" s="84" t="s">
        <v>37</v>
      </c>
      <c r="AW2" s="84" t="s">
        <v>38</v>
      </c>
      <c r="AX2" s="84" t="s">
        <v>39</v>
      </c>
      <c r="AY2" s="84" t="s">
        <v>40</v>
      </c>
      <c r="AZ2" s="88" t="s">
        <v>178</v>
      </c>
      <c r="BA2" s="89" t="s">
        <v>179</v>
      </c>
      <c r="BB2" s="89" t="s">
        <v>180</v>
      </c>
    </row>
    <row r="3" spans="1:54" ht="54">
      <c r="A3" s="105" t="s">
        <v>181</v>
      </c>
      <c r="B3" s="105" t="s">
        <v>182</v>
      </c>
      <c r="C3" s="105">
        <v>82101502</v>
      </c>
      <c r="D3" s="105" t="s">
        <v>183</v>
      </c>
      <c r="E3" s="106" t="s">
        <v>184</v>
      </c>
      <c r="F3" s="107" t="s">
        <v>185</v>
      </c>
      <c r="G3" s="108">
        <v>1</v>
      </c>
      <c r="H3" s="107" t="s">
        <v>186</v>
      </c>
      <c r="I3" s="109" t="s">
        <v>187</v>
      </c>
      <c r="J3" s="110">
        <v>46155</v>
      </c>
      <c r="K3" s="111" t="s">
        <v>188</v>
      </c>
      <c r="L3" s="112" t="s">
        <v>189</v>
      </c>
      <c r="M3" s="110" t="s">
        <v>190</v>
      </c>
      <c r="N3" s="113">
        <v>490000</v>
      </c>
      <c r="O3" s="113" t="s">
        <v>191</v>
      </c>
      <c r="P3" s="113" t="s">
        <v>192</v>
      </c>
      <c r="Q3" s="114">
        <f t="shared" ref="Q3:Q12" si="0">IF(O3="IVA Incluido",(N3/1.19),N3)</f>
        <v>411764.70588235295</v>
      </c>
      <c r="R3" s="115">
        <f>IF(P3="Si tiene IVA",Q3*19%,0)</f>
        <v>78235.294117647063</v>
      </c>
      <c r="S3" s="115">
        <f t="shared" ref="S3:S12" si="1">Q3+R3</f>
        <v>490000</v>
      </c>
      <c r="T3" s="115">
        <f t="shared" ref="T3:T12" si="2">IF(B3="","",(N3*G3))</f>
        <v>490000</v>
      </c>
      <c r="U3" s="115">
        <f t="shared" ref="U3:U12" si="3">IF(B3="","",(S3*G3))</f>
        <v>490000</v>
      </c>
      <c r="V3" s="116" t="s">
        <v>187</v>
      </c>
      <c r="W3" s="117">
        <v>46155</v>
      </c>
      <c r="X3" s="118" t="s">
        <v>193</v>
      </c>
      <c r="Y3" s="119" t="s">
        <v>194</v>
      </c>
      <c r="Z3" s="120" t="s">
        <v>195</v>
      </c>
      <c r="AA3" s="121">
        <v>550000</v>
      </c>
      <c r="AB3" s="121" t="s">
        <v>191</v>
      </c>
      <c r="AC3" s="121" t="s">
        <v>192</v>
      </c>
      <c r="AD3" s="122">
        <f>IF(AB3="IVA Incluido",(AA3/1.19),AA3)</f>
        <v>462184.87394957984</v>
      </c>
      <c r="AE3" s="123">
        <f t="shared" ref="AE3:AE12" si="4">IF(AC3="Si tiene IVA",AD3*19%,0)</f>
        <v>87815.126050420164</v>
      </c>
      <c r="AF3" s="123">
        <f t="shared" ref="AF3:AF12" si="5">AD3+AE3</f>
        <v>550000</v>
      </c>
      <c r="AG3" s="123">
        <f t="shared" ref="AG3:AG12" si="6">IF(O3="","",(AA3*G3))</f>
        <v>550000</v>
      </c>
      <c r="AH3" s="123">
        <f t="shared" ref="AH3:AH12" si="7">IF(O3="","",(AF3*G3))</f>
        <v>550000</v>
      </c>
      <c r="AI3" s="124" t="s">
        <v>187</v>
      </c>
      <c r="AJ3" s="125">
        <v>46155</v>
      </c>
      <c r="AK3" s="126" t="s">
        <v>196</v>
      </c>
      <c r="AL3" s="127" t="s">
        <v>189</v>
      </c>
      <c r="AM3" s="128" t="s">
        <v>197</v>
      </c>
      <c r="AN3" s="129">
        <v>585000</v>
      </c>
      <c r="AO3" s="129" t="s">
        <v>198</v>
      </c>
      <c r="AP3" s="130" t="s">
        <v>192</v>
      </c>
      <c r="AQ3" s="131">
        <f t="shared" ref="AQ3:AQ12" si="8">IF(AO3="IVA Incluido",(AN3/1.19),AN3)</f>
        <v>585000</v>
      </c>
      <c r="AR3" s="132">
        <f t="shared" ref="AR3:AR12" si="9">IF(AP3="Si tiene IVA",AQ3*19%,0)</f>
        <v>111150</v>
      </c>
      <c r="AS3" s="132">
        <f t="shared" ref="AS3:AS12" si="10">AQ3+AR3</f>
        <v>696150</v>
      </c>
      <c r="AT3" s="132">
        <f t="shared" ref="AT3:AT12" si="11">IF(AB3="","",(AN3*G3))</f>
        <v>585000</v>
      </c>
      <c r="AU3" s="132">
        <f t="shared" ref="AU3:AU12" si="12">IF(AB3="","",(AS3*G3))</f>
        <v>696150</v>
      </c>
      <c r="AV3" s="133">
        <f>IF(A3="","",ROUND(AVERAGE(S3,AF3,AS3),0))</f>
        <v>578717</v>
      </c>
      <c r="AW3" s="133">
        <f>IF(A3="","",AV3*G3)</f>
        <v>578717</v>
      </c>
      <c r="AX3" s="133">
        <f>IF(N3="","",ROUND(STDEV(U3,AH3,AU3),0))</f>
        <v>106033</v>
      </c>
      <c r="AY3" s="134">
        <f t="shared" ref="AY3:AY12" si="13">IF(N3="","",(AX3/AW3))</f>
        <v>0.18322081431857021</v>
      </c>
      <c r="AZ3" s="5"/>
      <c r="BA3" s="7">
        <f t="shared" ref="BA3:BA12" si="14">COUNTA(M3,Z3,AM3)</f>
        <v>3</v>
      </c>
      <c r="BB3" s="7"/>
    </row>
    <row r="4" spans="1:54" ht="54">
      <c r="A4" s="105" t="s">
        <v>181</v>
      </c>
      <c r="B4" s="105" t="s">
        <v>182</v>
      </c>
      <c r="C4" s="105">
        <v>82101502</v>
      </c>
      <c r="D4" s="105" t="s">
        <v>199</v>
      </c>
      <c r="E4" s="106" t="s">
        <v>184</v>
      </c>
      <c r="F4" s="107" t="s">
        <v>185</v>
      </c>
      <c r="G4" s="108">
        <v>1</v>
      </c>
      <c r="H4" s="107" t="s">
        <v>186</v>
      </c>
      <c r="I4" s="109" t="s">
        <v>200</v>
      </c>
      <c r="J4" s="110">
        <v>46147</v>
      </c>
      <c r="K4" s="111" t="s">
        <v>201</v>
      </c>
      <c r="L4" s="112" t="s">
        <v>189</v>
      </c>
      <c r="M4" s="110" t="s">
        <v>197</v>
      </c>
      <c r="N4" s="113">
        <v>35000</v>
      </c>
      <c r="O4" s="113" t="s">
        <v>198</v>
      </c>
      <c r="P4" s="113" t="s">
        <v>192</v>
      </c>
      <c r="Q4" s="114">
        <f t="shared" si="0"/>
        <v>35000</v>
      </c>
      <c r="R4" s="115">
        <f>IF(P4="Si tiene IVA",Q4*19%,0)</f>
        <v>6650</v>
      </c>
      <c r="S4" s="115">
        <f t="shared" si="1"/>
        <v>41650</v>
      </c>
      <c r="T4" s="115">
        <f t="shared" si="2"/>
        <v>35000</v>
      </c>
      <c r="U4" s="115">
        <f t="shared" si="3"/>
        <v>41650</v>
      </c>
      <c r="V4" s="116" t="s">
        <v>202</v>
      </c>
      <c r="W4" s="117">
        <v>46143</v>
      </c>
      <c r="X4" s="118" t="s">
        <v>203</v>
      </c>
      <c r="Y4" s="119" t="s">
        <v>189</v>
      </c>
      <c r="Z4" s="120" t="s">
        <v>204</v>
      </c>
      <c r="AA4" s="121">
        <v>36600</v>
      </c>
      <c r="AB4" s="121" t="s">
        <v>198</v>
      </c>
      <c r="AC4" s="121" t="s">
        <v>192</v>
      </c>
      <c r="AD4" s="122">
        <f>IF(AB4="IVA Incluido",(AA4/1.19),AA4)</f>
        <v>36600</v>
      </c>
      <c r="AE4" s="123">
        <f t="shared" si="4"/>
        <v>6954</v>
      </c>
      <c r="AF4" s="123">
        <f t="shared" si="5"/>
        <v>43554</v>
      </c>
      <c r="AG4" s="123">
        <f t="shared" si="6"/>
        <v>36600</v>
      </c>
      <c r="AH4" s="123">
        <f t="shared" si="7"/>
        <v>43554</v>
      </c>
      <c r="AI4" s="124" t="s">
        <v>200</v>
      </c>
      <c r="AJ4" s="125">
        <v>46143</v>
      </c>
      <c r="AK4" s="126" t="s">
        <v>193</v>
      </c>
      <c r="AL4" s="127" t="s">
        <v>189</v>
      </c>
      <c r="AM4" s="128" t="s">
        <v>205</v>
      </c>
      <c r="AN4" s="129">
        <v>55000</v>
      </c>
      <c r="AO4" s="129" t="s">
        <v>191</v>
      </c>
      <c r="AP4" s="130" t="s">
        <v>192</v>
      </c>
      <c r="AQ4" s="131">
        <f t="shared" si="8"/>
        <v>46218.487394957985</v>
      </c>
      <c r="AR4" s="132">
        <f t="shared" si="9"/>
        <v>8781.5126050420167</v>
      </c>
      <c r="AS4" s="132">
        <f t="shared" si="10"/>
        <v>55000</v>
      </c>
      <c r="AT4" s="132">
        <f t="shared" si="11"/>
        <v>55000</v>
      </c>
      <c r="AU4" s="132">
        <f t="shared" si="12"/>
        <v>55000</v>
      </c>
      <c r="AV4" s="133">
        <f t="shared" ref="AV4:AV67" si="15">IF(A4="","",ROUND(AVERAGE(S4,AF4,AS4),0))</f>
        <v>46735</v>
      </c>
      <c r="AW4" s="133">
        <f t="shared" ref="AW4:AW67" si="16">IF(A4="","",AV4*G4)</f>
        <v>46735</v>
      </c>
      <c r="AX4" s="133">
        <f t="shared" ref="AX4:AX67" si="17">IF(N4="","",ROUND(STDEV(U4,AH4,AU4),0))</f>
        <v>7221</v>
      </c>
      <c r="AY4" s="134">
        <f t="shared" si="13"/>
        <v>0.15450946827859205</v>
      </c>
      <c r="AZ4" s="5"/>
      <c r="BA4" s="7">
        <f t="shared" si="14"/>
        <v>3</v>
      </c>
      <c r="BB4" s="7"/>
    </row>
    <row r="5" spans="1:54" ht="54">
      <c r="A5" s="105" t="s">
        <v>181</v>
      </c>
      <c r="B5" s="105" t="s">
        <v>182</v>
      </c>
      <c r="C5" s="105">
        <v>82101502</v>
      </c>
      <c r="D5" s="105" t="s">
        <v>206</v>
      </c>
      <c r="E5" s="106" t="s">
        <v>207</v>
      </c>
      <c r="F5" s="107" t="s">
        <v>185</v>
      </c>
      <c r="G5" s="108">
        <v>1</v>
      </c>
      <c r="H5" s="107" t="s">
        <v>186</v>
      </c>
      <c r="I5" s="109" t="s">
        <v>187</v>
      </c>
      <c r="J5" s="110">
        <v>46155</v>
      </c>
      <c r="K5" s="111" t="s">
        <v>208</v>
      </c>
      <c r="L5" s="112" t="s">
        <v>189</v>
      </c>
      <c r="M5" s="110" t="s">
        <v>205</v>
      </c>
      <c r="N5" s="113">
        <v>55000</v>
      </c>
      <c r="O5" s="113" t="s">
        <v>198</v>
      </c>
      <c r="P5" s="113" t="s">
        <v>192</v>
      </c>
      <c r="Q5" s="114">
        <f t="shared" si="0"/>
        <v>55000</v>
      </c>
      <c r="R5" s="115">
        <v>6227</v>
      </c>
      <c r="S5" s="115">
        <f t="shared" si="1"/>
        <v>61227</v>
      </c>
      <c r="T5" s="115">
        <f t="shared" si="2"/>
        <v>55000</v>
      </c>
      <c r="U5" s="115">
        <f t="shared" si="3"/>
        <v>61227</v>
      </c>
      <c r="V5" s="116" t="s">
        <v>187</v>
      </c>
      <c r="W5" s="117">
        <v>46155</v>
      </c>
      <c r="X5" s="118" t="s">
        <v>201</v>
      </c>
      <c r="Y5" s="119" t="s">
        <v>189</v>
      </c>
      <c r="Z5" s="120" t="s">
        <v>197</v>
      </c>
      <c r="AA5" s="121">
        <v>35000</v>
      </c>
      <c r="AB5" s="121" t="s">
        <v>198</v>
      </c>
      <c r="AC5" s="121" t="s">
        <v>192</v>
      </c>
      <c r="AD5" s="122">
        <f>IF(AB5="IVA Incluido",(AA5/1.19),AA5)</f>
        <v>35000</v>
      </c>
      <c r="AE5" s="123">
        <f t="shared" si="4"/>
        <v>6650</v>
      </c>
      <c r="AF5" s="123">
        <f t="shared" si="5"/>
        <v>41650</v>
      </c>
      <c r="AG5" s="123">
        <f t="shared" si="6"/>
        <v>35000</v>
      </c>
      <c r="AH5" s="123">
        <f t="shared" si="7"/>
        <v>41650</v>
      </c>
      <c r="AI5" s="124" t="s">
        <v>187</v>
      </c>
      <c r="AJ5" s="125">
        <v>46155</v>
      </c>
      <c r="AK5" s="126" t="s">
        <v>203</v>
      </c>
      <c r="AL5" s="127" t="s">
        <v>189</v>
      </c>
      <c r="AM5" s="128" t="s">
        <v>204</v>
      </c>
      <c r="AN5" s="129">
        <v>36600</v>
      </c>
      <c r="AO5" s="129" t="s">
        <v>198</v>
      </c>
      <c r="AP5" s="130" t="s">
        <v>192</v>
      </c>
      <c r="AQ5" s="131">
        <f t="shared" si="8"/>
        <v>36600</v>
      </c>
      <c r="AR5" s="132">
        <f t="shared" si="9"/>
        <v>6954</v>
      </c>
      <c r="AS5" s="132">
        <f t="shared" si="10"/>
        <v>43554</v>
      </c>
      <c r="AT5" s="132">
        <f t="shared" si="11"/>
        <v>36600</v>
      </c>
      <c r="AU5" s="132">
        <f t="shared" si="12"/>
        <v>43554</v>
      </c>
      <c r="AV5" s="133">
        <f t="shared" si="15"/>
        <v>48810</v>
      </c>
      <c r="AW5" s="133">
        <f t="shared" si="16"/>
        <v>48810</v>
      </c>
      <c r="AX5" s="133">
        <f t="shared" si="17"/>
        <v>10795</v>
      </c>
      <c r="AY5" s="134">
        <f t="shared" si="13"/>
        <v>0.22116369596394181</v>
      </c>
      <c r="AZ5" s="5"/>
      <c r="BA5" s="7">
        <f t="shared" si="14"/>
        <v>3</v>
      </c>
      <c r="BB5" s="7"/>
    </row>
    <row r="6" spans="1:54" ht="54">
      <c r="A6" s="105" t="s">
        <v>181</v>
      </c>
      <c r="B6" s="105" t="s">
        <v>182</v>
      </c>
      <c r="C6" s="105">
        <v>82101502</v>
      </c>
      <c r="D6" s="105" t="s">
        <v>209</v>
      </c>
      <c r="E6" s="106" t="s">
        <v>210</v>
      </c>
      <c r="F6" s="107" t="s">
        <v>185</v>
      </c>
      <c r="G6" s="108">
        <v>1</v>
      </c>
      <c r="H6" s="107" t="s">
        <v>186</v>
      </c>
      <c r="I6" s="109" t="s">
        <v>187</v>
      </c>
      <c r="J6" s="110">
        <v>46155</v>
      </c>
      <c r="K6" s="111" t="s">
        <v>193</v>
      </c>
      <c r="L6" s="112" t="s">
        <v>189</v>
      </c>
      <c r="M6" s="110" t="s">
        <v>205</v>
      </c>
      <c r="N6" s="113">
        <v>340000</v>
      </c>
      <c r="O6" s="113" t="s">
        <v>191</v>
      </c>
      <c r="P6" s="113" t="s">
        <v>192</v>
      </c>
      <c r="Q6" s="114">
        <f t="shared" si="0"/>
        <v>285714.28571428574</v>
      </c>
      <c r="R6" s="115">
        <f t="shared" ref="R6:R12" si="18">IF(P6="Si tiene IVA",Q6*19%,0)</f>
        <v>54285.71428571429</v>
      </c>
      <c r="S6" s="115">
        <f t="shared" si="1"/>
        <v>340000</v>
      </c>
      <c r="T6" s="115">
        <f t="shared" si="2"/>
        <v>340000</v>
      </c>
      <c r="U6" s="115">
        <f t="shared" si="3"/>
        <v>340000</v>
      </c>
      <c r="V6" s="116" t="s">
        <v>187</v>
      </c>
      <c r="W6" s="117">
        <v>46155</v>
      </c>
      <c r="X6" s="118" t="s">
        <v>211</v>
      </c>
      <c r="Y6" s="119" t="s">
        <v>189</v>
      </c>
      <c r="Z6" s="120" t="s">
        <v>212</v>
      </c>
      <c r="AA6" s="121">
        <v>210000</v>
      </c>
      <c r="AB6" s="121" t="s">
        <v>198</v>
      </c>
      <c r="AC6" s="121" t="s">
        <v>192</v>
      </c>
      <c r="AD6" s="122">
        <f>IF(AB6="IVA Incluido",(AA6/1.19),AA6)</f>
        <v>210000</v>
      </c>
      <c r="AE6" s="123">
        <f t="shared" si="4"/>
        <v>39900</v>
      </c>
      <c r="AF6" s="123">
        <f t="shared" si="5"/>
        <v>249900</v>
      </c>
      <c r="AG6" s="123">
        <f t="shared" si="6"/>
        <v>210000</v>
      </c>
      <c r="AH6" s="123">
        <f t="shared" si="7"/>
        <v>249900</v>
      </c>
      <c r="AI6" s="124" t="s">
        <v>187</v>
      </c>
      <c r="AJ6" s="125">
        <v>46155</v>
      </c>
      <c r="AK6" s="126" t="s">
        <v>213</v>
      </c>
      <c r="AL6" s="127" t="s">
        <v>189</v>
      </c>
      <c r="AM6" s="128" t="s">
        <v>214</v>
      </c>
      <c r="AN6" s="129">
        <v>250000</v>
      </c>
      <c r="AO6" s="129" t="s">
        <v>198</v>
      </c>
      <c r="AP6" s="130" t="s">
        <v>192</v>
      </c>
      <c r="AQ6" s="131">
        <f t="shared" si="8"/>
        <v>250000</v>
      </c>
      <c r="AR6" s="132">
        <f t="shared" si="9"/>
        <v>47500</v>
      </c>
      <c r="AS6" s="132">
        <f t="shared" si="10"/>
        <v>297500</v>
      </c>
      <c r="AT6" s="132">
        <f t="shared" si="11"/>
        <v>250000</v>
      </c>
      <c r="AU6" s="132">
        <f t="shared" si="12"/>
        <v>297500</v>
      </c>
      <c r="AV6" s="133">
        <f t="shared" si="15"/>
        <v>295800</v>
      </c>
      <c r="AW6" s="133">
        <f t="shared" si="16"/>
        <v>295800</v>
      </c>
      <c r="AX6" s="133">
        <f t="shared" si="17"/>
        <v>45074</v>
      </c>
      <c r="AY6" s="134">
        <f t="shared" si="13"/>
        <v>0.15237998647734957</v>
      </c>
      <c r="AZ6" s="5"/>
      <c r="BA6" s="7">
        <f t="shared" si="14"/>
        <v>3</v>
      </c>
      <c r="BB6" s="7"/>
    </row>
    <row r="7" spans="1:54" ht="150">
      <c r="A7" s="105" t="s">
        <v>181</v>
      </c>
      <c r="B7" s="105" t="s">
        <v>182</v>
      </c>
      <c r="C7" s="105">
        <v>82101502</v>
      </c>
      <c r="D7" s="105" t="s">
        <v>215</v>
      </c>
      <c r="E7" s="106" t="s">
        <v>210</v>
      </c>
      <c r="F7" s="107" t="s">
        <v>185</v>
      </c>
      <c r="G7" s="108">
        <v>1</v>
      </c>
      <c r="H7" s="107" t="s">
        <v>186</v>
      </c>
      <c r="I7" s="109" t="s">
        <v>187</v>
      </c>
      <c r="J7" s="110">
        <v>46147</v>
      </c>
      <c r="K7" s="111" t="s">
        <v>208</v>
      </c>
      <c r="L7" s="112" t="s">
        <v>189</v>
      </c>
      <c r="M7" s="110" t="s">
        <v>205</v>
      </c>
      <c r="N7" s="113">
        <v>6500</v>
      </c>
      <c r="O7" s="113" t="s">
        <v>191</v>
      </c>
      <c r="P7" s="113" t="s">
        <v>192</v>
      </c>
      <c r="Q7" s="114">
        <f t="shared" si="0"/>
        <v>5462.1848739495799</v>
      </c>
      <c r="R7" s="115">
        <f t="shared" si="18"/>
        <v>1037.8151260504203</v>
      </c>
      <c r="S7" s="115">
        <f t="shared" si="1"/>
        <v>6500</v>
      </c>
      <c r="T7" s="115">
        <f t="shared" si="2"/>
        <v>6500</v>
      </c>
      <c r="U7" s="115">
        <f t="shared" si="3"/>
        <v>6500</v>
      </c>
      <c r="V7" s="116" t="s">
        <v>187</v>
      </c>
      <c r="W7" s="117">
        <v>46147</v>
      </c>
      <c r="X7" s="118" t="s">
        <v>216</v>
      </c>
      <c r="Y7" s="119" t="s">
        <v>189</v>
      </c>
      <c r="Z7" s="120" t="s">
        <v>217</v>
      </c>
      <c r="AA7" s="121">
        <v>7000</v>
      </c>
      <c r="AB7" s="121" t="s">
        <v>198</v>
      </c>
      <c r="AC7" s="121" t="s">
        <v>218</v>
      </c>
      <c r="AD7" s="122">
        <f>IF(AB7="IVA Incluido",(AA7/1.19),AA7)</f>
        <v>7000</v>
      </c>
      <c r="AE7" s="123">
        <f t="shared" si="4"/>
        <v>0</v>
      </c>
      <c r="AF7" s="123">
        <f t="shared" si="5"/>
        <v>7000</v>
      </c>
      <c r="AG7" s="123">
        <f t="shared" si="6"/>
        <v>7000</v>
      </c>
      <c r="AH7" s="123">
        <f t="shared" si="7"/>
        <v>7000</v>
      </c>
      <c r="AI7" s="124" t="s">
        <v>187</v>
      </c>
      <c r="AJ7" s="125">
        <v>46147</v>
      </c>
      <c r="AK7" s="126" t="s">
        <v>201</v>
      </c>
      <c r="AL7" s="127" t="s">
        <v>189</v>
      </c>
      <c r="AM7" s="128" t="s">
        <v>197</v>
      </c>
      <c r="AN7" s="129">
        <v>7800</v>
      </c>
      <c r="AO7" s="129" t="s">
        <v>198</v>
      </c>
      <c r="AP7" s="130" t="s">
        <v>192</v>
      </c>
      <c r="AQ7" s="131">
        <f t="shared" si="8"/>
        <v>7800</v>
      </c>
      <c r="AR7" s="132">
        <f t="shared" si="9"/>
        <v>1482</v>
      </c>
      <c r="AS7" s="132">
        <f t="shared" si="10"/>
        <v>9282</v>
      </c>
      <c r="AT7" s="132">
        <f t="shared" si="11"/>
        <v>7800</v>
      </c>
      <c r="AU7" s="132">
        <f t="shared" si="12"/>
        <v>9282</v>
      </c>
      <c r="AV7" s="133">
        <f t="shared" si="15"/>
        <v>7594</v>
      </c>
      <c r="AW7" s="133">
        <f t="shared" si="16"/>
        <v>7594</v>
      </c>
      <c r="AX7" s="133">
        <f t="shared" si="17"/>
        <v>1483</v>
      </c>
      <c r="AY7" s="134">
        <f t="shared" si="13"/>
        <v>0.19528575190940217</v>
      </c>
      <c r="AZ7" s="5" t="s">
        <v>219</v>
      </c>
      <c r="BA7" s="7">
        <f t="shared" si="14"/>
        <v>3</v>
      </c>
      <c r="BB7" s="7" t="s">
        <v>220</v>
      </c>
    </row>
    <row r="8" spans="1:54" ht="54">
      <c r="A8" s="105" t="s">
        <v>181</v>
      </c>
      <c r="B8" s="105" t="s">
        <v>182</v>
      </c>
      <c r="C8" s="105">
        <v>82101502</v>
      </c>
      <c r="D8" s="105" t="s">
        <v>221</v>
      </c>
      <c r="E8" s="106" t="s">
        <v>222</v>
      </c>
      <c r="F8" s="107" t="s">
        <v>185</v>
      </c>
      <c r="G8" s="108">
        <v>1</v>
      </c>
      <c r="H8" s="107" t="s">
        <v>186</v>
      </c>
      <c r="I8" s="109" t="s">
        <v>187</v>
      </c>
      <c r="J8" s="110">
        <v>46155</v>
      </c>
      <c r="K8" s="111" t="s">
        <v>193</v>
      </c>
      <c r="L8" s="112" t="s">
        <v>189</v>
      </c>
      <c r="M8" s="110" t="s">
        <v>205</v>
      </c>
      <c r="N8" s="113">
        <v>910000</v>
      </c>
      <c r="O8" s="113" t="s">
        <v>198</v>
      </c>
      <c r="P8" s="113" t="s">
        <v>192</v>
      </c>
      <c r="Q8" s="114">
        <f t="shared" si="0"/>
        <v>910000</v>
      </c>
      <c r="R8" s="115">
        <f t="shared" si="18"/>
        <v>172900</v>
      </c>
      <c r="S8" s="115">
        <f t="shared" si="1"/>
        <v>1082900</v>
      </c>
      <c r="T8" s="115">
        <f t="shared" si="2"/>
        <v>910000</v>
      </c>
      <c r="U8" s="115">
        <f t="shared" si="3"/>
        <v>1082900</v>
      </c>
      <c r="V8" s="116" t="s">
        <v>187</v>
      </c>
      <c r="W8" s="117">
        <v>46153</v>
      </c>
      <c r="X8" s="118" t="s">
        <v>223</v>
      </c>
      <c r="Y8" s="119" t="s">
        <v>189</v>
      </c>
      <c r="Z8" s="120" t="s">
        <v>224</v>
      </c>
      <c r="AA8" s="121">
        <v>740000</v>
      </c>
      <c r="AB8" s="121" t="s">
        <v>198</v>
      </c>
      <c r="AC8" s="121" t="s">
        <v>192</v>
      </c>
      <c r="AD8" s="122">
        <v>740000</v>
      </c>
      <c r="AE8" s="123">
        <f t="shared" si="4"/>
        <v>140600</v>
      </c>
      <c r="AF8" s="123">
        <f t="shared" si="5"/>
        <v>880600</v>
      </c>
      <c r="AG8" s="123">
        <f t="shared" si="6"/>
        <v>740000</v>
      </c>
      <c r="AH8" s="123">
        <f t="shared" si="7"/>
        <v>880600</v>
      </c>
      <c r="AI8" s="124" t="s">
        <v>187</v>
      </c>
      <c r="AJ8" s="125">
        <v>46155</v>
      </c>
      <c r="AK8" s="126" t="s">
        <v>211</v>
      </c>
      <c r="AL8" s="127" t="s">
        <v>189</v>
      </c>
      <c r="AM8" s="128" t="s">
        <v>212</v>
      </c>
      <c r="AN8" s="129">
        <v>1000000</v>
      </c>
      <c r="AO8" s="129" t="s">
        <v>198</v>
      </c>
      <c r="AP8" s="130" t="s">
        <v>192</v>
      </c>
      <c r="AQ8" s="131">
        <f t="shared" si="8"/>
        <v>1000000</v>
      </c>
      <c r="AR8" s="132">
        <f t="shared" si="9"/>
        <v>190000</v>
      </c>
      <c r="AS8" s="132">
        <f t="shared" si="10"/>
        <v>1190000</v>
      </c>
      <c r="AT8" s="132">
        <f t="shared" si="11"/>
        <v>1000000</v>
      </c>
      <c r="AU8" s="132">
        <f t="shared" si="12"/>
        <v>1190000</v>
      </c>
      <c r="AV8" s="133">
        <f t="shared" si="15"/>
        <v>1051167</v>
      </c>
      <c r="AW8" s="133">
        <f t="shared" si="16"/>
        <v>1051167</v>
      </c>
      <c r="AX8" s="133">
        <f t="shared" si="17"/>
        <v>157122</v>
      </c>
      <c r="AY8" s="134">
        <f t="shared" si="13"/>
        <v>0.149473870469678</v>
      </c>
      <c r="AZ8" s="5"/>
      <c r="BA8" s="7">
        <f t="shared" si="14"/>
        <v>3</v>
      </c>
      <c r="BB8" s="7"/>
    </row>
    <row r="9" spans="1:54" ht="54">
      <c r="A9" s="105" t="s">
        <v>181</v>
      </c>
      <c r="B9" s="105" t="s">
        <v>182</v>
      </c>
      <c r="C9" s="105">
        <v>82101502</v>
      </c>
      <c r="D9" s="105" t="s">
        <v>225</v>
      </c>
      <c r="E9" s="106" t="s">
        <v>207</v>
      </c>
      <c r="F9" s="107" t="s">
        <v>185</v>
      </c>
      <c r="G9" s="108">
        <v>1</v>
      </c>
      <c r="H9" s="107" t="s">
        <v>186</v>
      </c>
      <c r="I9" s="109" t="s">
        <v>200</v>
      </c>
      <c r="J9" s="110">
        <v>46147</v>
      </c>
      <c r="K9" s="111" t="s">
        <v>226</v>
      </c>
      <c r="L9" s="112" t="s">
        <v>189</v>
      </c>
      <c r="M9" s="110" t="s">
        <v>227</v>
      </c>
      <c r="N9" s="113">
        <v>1575</v>
      </c>
      <c r="O9" s="113" t="s">
        <v>198</v>
      </c>
      <c r="P9" s="113" t="s">
        <v>192</v>
      </c>
      <c r="Q9" s="114">
        <f t="shared" si="0"/>
        <v>1575</v>
      </c>
      <c r="R9" s="115">
        <f t="shared" si="18"/>
        <v>299.25</v>
      </c>
      <c r="S9" s="115">
        <f t="shared" si="1"/>
        <v>1874.25</v>
      </c>
      <c r="T9" s="115">
        <f t="shared" si="2"/>
        <v>1575</v>
      </c>
      <c r="U9" s="115">
        <f t="shared" si="3"/>
        <v>1874.25</v>
      </c>
      <c r="V9" s="116" t="s">
        <v>202</v>
      </c>
      <c r="W9" s="117">
        <v>46147</v>
      </c>
      <c r="X9" s="118" t="s">
        <v>188</v>
      </c>
      <c r="Y9" s="119" t="s">
        <v>189</v>
      </c>
      <c r="Z9" s="120" t="s">
        <v>188</v>
      </c>
      <c r="AA9" s="121">
        <v>1250</v>
      </c>
      <c r="AB9" s="121" t="s">
        <v>198</v>
      </c>
      <c r="AC9" s="121" t="s">
        <v>192</v>
      </c>
      <c r="AD9" s="122">
        <f>IF(AB9="IVA Incluido",(AA9/1.19),AA9)</f>
        <v>1250</v>
      </c>
      <c r="AE9" s="123">
        <f t="shared" si="4"/>
        <v>237.5</v>
      </c>
      <c r="AF9" s="123">
        <f t="shared" si="5"/>
        <v>1487.5</v>
      </c>
      <c r="AG9" s="123">
        <f t="shared" si="6"/>
        <v>1250</v>
      </c>
      <c r="AH9" s="123">
        <f t="shared" si="7"/>
        <v>1487.5</v>
      </c>
      <c r="AI9" s="124" t="s">
        <v>200</v>
      </c>
      <c r="AJ9" s="125">
        <v>46147</v>
      </c>
      <c r="AK9" s="126" t="s">
        <v>228</v>
      </c>
      <c r="AL9" s="127" t="s">
        <v>189</v>
      </c>
      <c r="AM9" s="128" t="s">
        <v>229</v>
      </c>
      <c r="AN9" s="129">
        <v>1500</v>
      </c>
      <c r="AO9" s="129" t="s">
        <v>198</v>
      </c>
      <c r="AP9" s="130" t="s">
        <v>218</v>
      </c>
      <c r="AQ9" s="131">
        <f t="shared" si="8"/>
        <v>1500</v>
      </c>
      <c r="AR9" s="132">
        <f t="shared" si="9"/>
        <v>0</v>
      </c>
      <c r="AS9" s="132">
        <f t="shared" si="10"/>
        <v>1500</v>
      </c>
      <c r="AT9" s="132">
        <f t="shared" si="11"/>
        <v>1500</v>
      </c>
      <c r="AU9" s="132">
        <f t="shared" si="12"/>
        <v>1500</v>
      </c>
      <c r="AV9" s="133">
        <f t="shared" si="15"/>
        <v>1621</v>
      </c>
      <c r="AW9" s="133">
        <f t="shared" si="16"/>
        <v>1621</v>
      </c>
      <c r="AX9" s="133">
        <f t="shared" si="17"/>
        <v>220</v>
      </c>
      <c r="AY9" s="134">
        <f t="shared" si="13"/>
        <v>0.13571869216533003</v>
      </c>
      <c r="AZ9" s="5"/>
      <c r="BA9" s="7">
        <f t="shared" si="14"/>
        <v>3</v>
      </c>
      <c r="BB9" s="7" t="s">
        <v>230</v>
      </c>
    </row>
    <row r="10" spans="1:54" ht="108">
      <c r="A10" s="105" t="s">
        <v>181</v>
      </c>
      <c r="B10" s="105" t="s">
        <v>182</v>
      </c>
      <c r="C10" s="105" t="s">
        <v>231</v>
      </c>
      <c r="D10" s="105" t="s">
        <v>232</v>
      </c>
      <c r="E10" s="106" t="s">
        <v>233</v>
      </c>
      <c r="F10" s="107" t="s">
        <v>185</v>
      </c>
      <c r="G10" s="108">
        <v>1</v>
      </c>
      <c r="H10" s="107" t="s">
        <v>186</v>
      </c>
      <c r="I10" s="109" t="s">
        <v>234</v>
      </c>
      <c r="J10" s="110">
        <v>46072</v>
      </c>
      <c r="K10" s="111" t="s">
        <v>235</v>
      </c>
      <c r="L10" s="112" t="s">
        <v>194</v>
      </c>
      <c r="M10" s="110" t="s">
        <v>212</v>
      </c>
      <c r="N10" s="113">
        <v>26000</v>
      </c>
      <c r="O10" s="113" t="s">
        <v>198</v>
      </c>
      <c r="P10" s="113" t="s">
        <v>192</v>
      </c>
      <c r="Q10" s="114">
        <f t="shared" si="0"/>
        <v>26000</v>
      </c>
      <c r="R10" s="115">
        <f t="shared" si="18"/>
        <v>4940</v>
      </c>
      <c r="S10" s="115">
        <f t="shared" si="1"/>
        <v>30940</v>
      </c>
      <c r="T10" s="115">
        <f t="shared" si="2"/>
        <v>26000</v>
      </c>
      <c r="U10" s="115">
        <f t="shared" si="3"/>
        <v>30940</v>
      </c>
      <c r="V10" s="116" t="s">
        <v>234</v>
      </c>
      <c r="W10" s="117">
        <v>46071</v>
      </c>
      <c r="X10" s="118" t="s">
        <v>216</v>
      </c>
      <c r="Y10" s="119" t="s">
        <v>194</v>
      </c>
      <c r="Z10" s="120" t="s">
        <v>217</v>
      </c>
      <c r="AA10" s="121">
        <v>35000</v>
      </c>
      <c r="AB10" s="121" t="s">
        <v>198</v>
      </c>
      <c r="AC10" s="121" t="s">
        <v>218</v>
      </c>
      <c r="AD10" s="122">
        <f>IF(AB10="IVA Incluido",(AA10/1.19),AA10)</f>
        <v>35000</v>
      </c>
      <c r="AE10" s="123">
        <f t="shared" si="4"/>
        <v>0</v>
      </c>
      <c r="AF10" s="123">
        <f t="shared" si="5"/>
        <v>35000</v>
      </c>
      <c r="AG10" s="123">
        <f t="shared" si="6"/>
        <v>35000</v>
      </c>
      <c r="AH10" s="123">
        <f t="shared" si="7"/>
        <v>35000</v>
      </c>
      <c r="AI10" s="124" t="s">
        <v>234</v>
      </c>
      <c r="AJ10" s="125">
        <v>46072</v>
      </c>
      <c r="AK10" s="126" t="s">
        <v>236</v>
      </c>
      <c r="AL10" s="127" t="s">
        <v>194</v>
      </c>
      <c r="AM10" s="128" t="s">
        <v>237</v>
      </c>
      <c r="AN10" s="129">
        <v>29000</v>
      </c>
      <c r="AO10" s="129" t="s">
        <v>198</v>
      </c>
      <c r="AP10" s="130" t="s">
        <v>218</v>
      </c>
      <c r="AQ10" s="131">
        <f t="shared" si="8"/>
        <v>29000</v>
      </c>
      <c r="AR10" s="132">
        <f t="shared" si="9"/>
        <v>0</v>
      </c>
      <c r="AS10" s="132">
        <f t="shared" si="10"/>
        <v>29000</v>
      </c>
      <c r="AT10" s="132">
        <f t="shared" si="11"/>
        <v>29000</v>
      </c>
      <c r="AU10" s="132">
        <f t="shared" si="12"/>
        <v>29000</v>
      </c>
      <c r="AV10" s="133">
        <f t="shared" si="15"/>
        <v>31647</v>
      </c>
      <c r="AW10" s="133">
        <f t="shared" si="16"/>
        <v>31647</v>
      </c>
      <c r="AX10" s="133">
        <f t="shared" si="17"/>
        <v>3062</v>
      </c>
      <c r="AY10" s="134">
        <f t="shared" si="13"/>
        <v>9.675482668183398E-2</v>
      </c>
      <c r="AZ10" s="5"/>
      <c r="BA10" s="7">
        <f t="shared" si="14"/>
        <v>3</v>
      </c>
      <c r="BB10" s="7" t="s">
        <v>238</v>
      </c>
    </row>
    <row r="11" spans="1:54" ht="121.5">
      <c r="A11" s="105" t="s">
        <v>181</v>
      </c>
      <c r="B11" s="105" t="s">
        <v>182</v>
      </c>
      <c r="C11" s="105">
        <v>44112005</v>
      </c>
      <c r="D11" s="105" t="s">
        <v>239</v>
      </c>
      <c r="E11" s="106" t="s">
        <v>240</v>
      </c>
      <c r="F11" s="107" t="s">
        <v>185</v>
      </c>
      <c r="G11" s="108">
        <v>1</v>
      </c>
      <c r="H11" s="107" t="s">
        <v>186</v>
      </c>
      <c r="I11" s="109" t="s">
        <v>234</v>
      </c>
      <c r="J11" s="110">
        <v>46070</v>
      </c>
      <c r="K11" s="111" t="s">
        <v>201</v>
      </c>
      <c r="L11" s="112" t="s">
        <v>194</v>
      </c>
      <c r="M11" s="110" t="s">
        <v>197</v>
      </c>
      <c r="N11" s="113">
        <v>28000</v>
      </c>
      <c r="O11" s="113" t="s">
        <v>198</v>
      </c>
      <c r="P11" s="113" t="s">
        <v>192</v>
      </c>
      <c r="Q11" s="114">
        <f t="shared" si="0"/>
        <v>28000</v>
      </c>
      <c r="R11" s="115">
        <f t="shared" si="18"/>
        <v>5320</v>
      </c>
      <c r="S11" s="115">
        <f t="shared" si="1"/>
        <v>33320</v>
      </c>
      <c r="T11" s="115">
        <f t="shared" si="2"/>
        <v>28000</v>
      </c>
      <c r="U11" s="115">
        <f t="shared" si="3"/>
        <v>33320</v>
      </c>
      <c r="V11" s="116" t="s">
        <v>234</v>
      </c>
      <c r="W11" s="117">
        <v>46071</v>
      </c>
      <c r="X11" s="118" t="s">
        <v>193</v>
      </c>
      <c r="Y11" s="119" t="s">
        <v>194</v>
      </c>
      <c r="Z11" s="120" t="s">
        <v>205</v>
      </c>
      <c r="AA11" s="121">
        <v>31600</v>
      </c>
      <c r="AB11" s="121" t="s">
        <v>191</v>
      </c>
      <c r="AC11" s="121" t="s">
        <v>192</v>
      </c>
      <c r="AD11" s="122">
        <f>IF(AB11="IVA Incluido",(AA11/1.19),AA11)</f>
        <v>26554.621848739498</v>
      </c>
      <c r="AE11" s="123">
        <f t="shared" si="4"/>
        <v>5045.3781512605046</v>
      </c>
      <c r="AF11" s="123">
        <f t="shared" si="5"/>
        <v>31600.000000000004</v>
      </c>
      <c r="AG11" s="123">
        <f t="shared" si="6"/>
        <v>31600</v>
      </c>
      <c r="AH11" s="123">
        <f t="shared" si="7"/>
        <v>31600.000000000004</v>
      </c>
      <c r="AI11" s="124" t="s">
        <v>234</v>
      </c>
      <c r="AJ11" s="125">
        <v>46071</v>
      </c>
      <c r="AK11" s="126" t="s">
        <v>216</v>
      </c>
      <c r="AL11" s="127" t="s">
        <v>194</v>
      </c>
      <c r="AM11" s="128" t="s">
        <v>217</v>
      </c>
      <c r="AN11" s="129">
        <v>30000</v>
      </c>
      <c r="AO11" s="129" t="s">
        <v>198</v>
      </c>
      <c r="AP11" s="130" t="s">
        <v>218</v>
      </c>
      <c r="AQ11" s="131">
        <f t="shared" si="8"/>
        <v>30000</v>
      </c>
      <c r="AR11" s="132">
        <f t="shared" si="9"/>
        <v>0</v>
      </c>
      <c r="AS11" s="132">
        <f t="shared" si="10"/>
        <v>30000</v>
      </c>
      <c r="AT11" s="132">
        <f t="shared" si="11"/>
        <v>30000</v>
      </c>
      <c r="AU11" s="132">
        <f t="shared" si="12"/>
        <v>30000</v>
      </c>
      <c r="AV11" s="133">
        <f t="shared" si="15"/>
        <v>31640</v>
      </c>
      <c r="AW11" s="133">
        <f t="shared" si="16"/>
        <v>31640</v>
      </c>
      <c r="AX11" s="133">
        <f t="shared" si="17"/>
        <v>1660</v>
      </c>
      <c r="AY11" s="134">
        <f t="shared" si="13"/>
        <v>5.2465233881163087E-2</v>
      </c>
      <c r="AZ11" s="5"/>
      <c r="BA11" s="7">
        <f t="shared" si="14"/>
        <v>3</v>
      </c>
      <c r="BB11" s="7" t="s">
        <v>230</v>
      </c>
    </row>
    <row r="12" spans="1:54" ht="67.5">
      <c r="A12" s="105" t="s">
        <v>181</v>
      </c>
      <c r="B12" s="105" t="s">
        <v>241</v>
      </c>
      <c r="C12" s="105">
        <v>80141607</v>
      </c>
      <c r="D12" s="105" t="s">
        <v>242</v>
      </c>
      <c r="E12" s="106" t="s">
        <v>243</v>
      </c>
      <c r="F12" s="107" t="s">
        <v>244</v>
      </c>
      <c r="G12" s="108">
        <v>1</v>
      </c>
      <c r="H12" s="107" t="s">
        <v>186</v>
      </c>
      <c r="I12" s="109" t="s">
        <v>187</v>
      </c>
      <c r="J12" s="110">
        <v>46086</v>
      </c>
      <c r="K12" s="111" t="s">
        <v>245</v>
      </c>
      <c r="L12" s="112" t="s">
        <v>194</v>
      </c>
      <c r="M12" s="110" t="s">
        <v>246</v>
      </c>
      <c r="N12" s="113">
        <v>15800</v>
      </c>
      <c r="O12" s="113" t="s">
        <v>191</v>
      </c>
      <c r="P12" s="113" t="s">
        <v>192</v>
      </c>
      <c r="Q12" s="114">
        <f t="shared" si="0"/>
        <v>13277.310924369749</v>
      </c>
      <c r="R12" s="115">
        <f t="shared" si="18"/>
        <v>2522.6890756302523</v>
      </c>
      <c r="S12" s="115">
        <f t="shared" si="1"/>
        <v>15800.000000000002</v>
      </c>
      <c r="T12" s="115">
        <f t="shared" si="2"/>
        <v>15800</v>
      </c>
      <c r="U12" s="115">
        <f t="shared" si="3"/>
        <v>15800.000000000002</v>
      </c>
      <c r="V12" s="116" t="s">
        <v>187</v>
      </c>
      <c r="W12" s="117">
        <v>46086</v>
      </c>
      <c r="X12" s="118" t="s">
        <v>247</v>
      </c>
      <c r="Y12" s="119" t="s">
        <v>194</v>
      </c>
      <c r="Z12" s="120" t="s">
        <v>248</v>
      </c>
      <c r="AA12" s="121">
        <v>19480</v>
      </c>
      <c r="AB12" s="121" t="s">
        <v>191</v>
      </c>
      <c r="AC12" s="121" t="s">
        <v>192</v>
      </c>
      <c r="AD12" s="122">
        <f>IF(AB12="IVA Incluido",(AA12/1.19),AA12)</f>
        <v>16369.747899159665</v>
      </c>
      <c r="AE12" s="123">
        <f t="shared" si="4"/>
        <v>3110.2521008403364</v>
      </c>
      <c r="AF12" s="123">
        <f t="shared" si="5"/>
        <v>19480</v>
      </c>
      <c r="AG12" s="123">
        <f t="shared" si="6"/>
        <v>19480</v>
      </c>
      <c r="AH12" s="123">
        <f t="shared" si="7"/>
        <v>19480</v>
      </c>
      <c r="AI12" s="124" t="s">
        <v>187</v>
      </c>
      <c r="AJ12" s="125">
        <v>46086</v>
      </c>
      <c r="AK12" s="126" t="s">
        <v>249</v>
      </c>
      <c r="AL12" s="127" t="s">
        <v>194</v>
      </c>
      <c r="AM12" s="128" t="s">
        <v>250</v>
      </c>
      <c r="AN12" s="129">
        <v>17400</v>
      </c>
      <c r="AO12" s="129" t="s">
        <v>191</v>
      </c>
      <c r="AP12" s="130" t="s">
        <v>192</v>
      </c>
      <c r="AQ12" s="131">
        <f t="shared" si="8"/>
        <v>14621.848739495799</v>
      </c>
      <c r="AR12" s="132">
        <f t="shared" si="9"/>
        <v>2778.1512605042017</v>
      </c>
      <c r="AS12" s="132">
        <f t="shared" si="10"/>
        <v>17400</v>
      </c>
      <c r="AT12" s="132">
        <f t="shared" si="11"/>
        <v>17400</v>
      </c>
      <c r="AU12" s="132">
        <f t="shared" si="12"/>
        <v>17400</v>
      </c>
      <c r="AV12" s="133">
        <f t="shared" si="15"/>
        <v>17560</v>
      </c>
      <c r="AW12" s="133">
        <f t="shared" si="16"/>
        <v>17560</v>
      </c>
      <c r="AX12" s="133">
        <f t="shared" si="17"/>
        <v>1845</v>
      </c>
      <c r="AY12" s="134">
        <f t="shared" si="13"/>
        <v>0.10506833712984055</v>
      </c>
      <c r="AZ12" s="5" t="s">
        <v>251</v>
      </c>
      <c r="BA12" s="7">
        <f t="shared" si="14"/>
        <v>3</v>
      </c>
      <c r="BB12" s="7"/>
    </row>
    <row r="13" spans="1:54" ht="297">
      <c r="A13" s="105" t="s">
        <v>252</v>
      </c>
      <c r="B13" s="105" t="s">
        <v>252</v>
      </c>
      <c r="C13" s="105" t="s">
        <v>252</v>
      </c>
      <c r="D13" s="105" t="s">
        <v>253</v>
      </c>
      <c r="E13" s="106" t="s">
        <v>254</v>
      </c>
      <c r="F13" s="107" t="s">
        <v>255</v>
      </c>
      <c r="G13" s="108">
        <v>1</v>
      </c>
      <c r="H13" s="107"/>
      <c r="I13" s="109"/>
      <c r="J13" s="110"/>
      <c r="K13" s="111"/>
      <c r="L13" s="112"/>
      <c r="M13" s="110"/>
      <c r="N13" s="113"/>
      <c r="O13" s="113"/>
      <c r="P13" s="113"/>
      <c r="Q13" s="114" t="s">
        <v>256</v>
      </c>
      <c r="R13" s="115" t="s">
        <v>256</v>
      </c>
      <c r="S13" s="115" t="s">
        <v>256</v>
      </c>
      <c r="T13" s="115" t="s">
        <v>256</v>
      </c>
      <c r="U13" s="115" t="s">
        <v>256</v>
      </c>
      <c r="V13" s="116" t="s">
        <v>252</v>
      </c>
      <c r="W13" s="117" t="s">
        <v>252</v>
      </c>
      <c r="X13" s="118" t="s">
        <v>252</v>
      </c>
      <c r="Y13" s="119" t="s">
        <v>252</v>
      </c>
      <c r="Z13" s="120" t="s">
        <v>257</v>
      </c>
      <c r="AA13" s="121" t="s">
        <v>252</v>
      </c>
      <c r="AB13" s="121" t="s">
        <v>252</v>
      </c>
      <c r="AC13" s="121" t="s">
        <v>252</v>
      </c>
      <c r="AD13" s="122" t="s">
        <v>252</v>
      </c>
      <c r="AE13" s="123" t="s">
        <v>252</v>
      </c>
      <c r="AF13" s="123">
        <f>AH13/1.19</f>
        <v>1809.2436974789916</v>
      </c>
      <c r="AG13" s="123">
        <f>AF13*19%</f>
        <v>343.75630252100842</v>
      </c>
      <c r="AH13" s="123">
        <v>2153</v>
      </c>
      <c r="AI13" s="124" t="s">
        <v>252</v>
      </c>
      <c r="AJ13" s="125" t="s">
        <v>252</v>
      </c>
      <c r="AK13" s="126" t="s">
        <v>252</v>
      </c>
      <c r="AL13" s="127" t="s">
        <v>252</v>
      </c>
      <c r="AM13" s="128" t="s">
        <v>258</v>
      </c>
      <c r="AN13" s="129" t="s">
        <v>252</v>
      </c>
      <c r="AO13" s="129" t="s">
        <v>252</v>
      </c>
      <c r="AP13" s="130" t="s">
        <v>252</v>
      </c>
      <c r="AQ13" s="131">
        <v>1783</v>
      </c>
      <c r="AR13" s="132">
        <v>339</v>
      </c>
      <c r="AS13" s="132">
        <v>2122</v>
      </c>
      <c r="AT13" s="132">
        <v>1783</v>
      </c>
      <c r="AU13" s="132">
        <v>2122</v>
      </c>
      <c r="AV13" s="133">
        <f t="shared" si="15"/>
        <v>1966</v>
      </c>
      <c r="AW13" s="133">
        <f t="shared" si="16"/>
        <v>1966</v>
      </c>
      <c r="AX13" s="133" t="str">
        <f t="shared" si="17"/>
        <v/>
      </c>
      <c r="AY13" s="134">
        <v>1.0500000000000001E-2</v>
      </c>
      <c r="AZ13" s="5"/>
      <c r="BA13" s="7"/>
      <c r="BB13" s="7"/>
    </row>
    <row r="14" spans="1:54" ht="94.5">
      <c r="A14" s="105" t="s">
        <v>181</v>
      </c>
      <c r="B14" s="105" t="s">
        <v>259</v>
      </c>
      <c r="C14" s="105">
        <v>60121702</v>
      </c>
      <c r="D14" s="105" t="s">
        <v>260</v>
      </c>
      <c r="E14" s="106" t="s">
        <v>261</v>
      </c>
      <c r="F14" s="107" t="s">
        <v>185</v>
      </c>
      <c r="G14" s="108">
        <v>1</v>
      </c>
      <c r="H14" s="107" t="s">
        <v>186</v>
      </c>
      <c r="I14" s="109" t="s">
        <v>200</v>
      </c>
      <c r="J14" s="110">
        <v>46070</v>
      </c>
      <c r="K14" s="111" t="s">
        <v>262</v>
      </c>
      <c r="L14" s="112" t="s">
        <v>194</v>
      </c>
      <c r="M14" s="110" t="s">
        <v>263</v>
      </c>
      <c r="N14" s="113">
        <v>3300.27</v>
      </c>
      <c r="O14" s="113" t="s">
        <v>191</v>
      </c>
      <c r="P14" s="113" t="s">
        <v>192</v>
      </c>
      <c r="Q14" s="114">
        <f>IF(O14="IVA Incluido",(N14/1.19),N14)</f>
        <v>2773.3361344537816</v>
      </c>
      <c r="R14" s="115">
        <f>IF(P14="Si tiene IVA",Q14*19%,0)</f>
        <v>526.9338655462185</v>
      </c>
      <c r="S14" s="115">
        <f t="shared" ref="S14:S20" si="19">Q14+R14</f>
        <v>3300.27</v>
      </c>
      <c r="T14" s="115">
        <f>IF(B14="","",(N14*G14))</f>
        <v>3300.27</v>
      </c>
      <c r="U14" s="115">
        <f>IF(B14="","",(S14*G14))</f>
        <v>3300.27</v>
      </c>
      <c r="V14" s="116" t="s">
        <v>200</v>
      </c>
      <c r="W14" s="117">
        <v>46070</v>
      </c>
      <c r="X14" s="118" t="s">
        <v>264</v>
      </c>
      <c r="Y14" s="119" t="s">
        <v>194</v>
      </c>
      <c r="Z14" s="120" t="s">
        <v>265</v>
      </c>
      <c r="AA14" s="121">
        <v>2600</v>
      </c>
      <c r="AB14" s="121" t="s">
        <v>198</v>
      </c>
      <c r="AC14" s="121" t="s">
        <v>192</v>
      </c>
      <c r="AD14" s="122">
        <f>IF(AB14="IVA Incluido",(AA14/1.19),AA14)</f>
        <v>2600</v>
      </c>
      <c r="AE14" s="123">
        <f>IF(AC14="Si tiene IVA",AD14*19%,0)</f>
        <v>494</v>
      </c>
      <c r="AF14" s="123">
        <f t="shared" ref="AF14:AF20" si="20">AD14+AE14</f>
        <v>3094</v>
      </c>
      <c r="AG14" s="123">
        <f>IF(O14="","",(AA14*G14))</f>
        <v>2600</v>
      </c>
      <c r="AH14" s="123">
        <f>IF(O14="","",(AF14*G14))</f>
        <v>3094</v>
      </c>
      <c r="AI14" s="124" t="s">
        <v>200</v>
      </c>
      <c r="AJ14" s="125">
        <v>46070</v>
      </c>
      <c r="AK14" s="126" t="s">
        <v>266</v>
      </c>
      <c r="AL14" s="127" t="s">
        <v>194</v>
      </c>
      <c r="AM14" s="128" t="s">
        <v>267</v>
      </c>
      <c r="AN14" s="129">
        <v>3500</v>
      </c>
      <c r="AO14" s="129" t="s">
        <v>191</v>
      </c>
      <c r="AP14" s="130" t="s">
        <v>192</v>
      </c>
      <c r="AQ14" s="131">
        <f>IF(AO14="IVA Incluido",(AN14/1.19),AN14)</f>
        <v>2941.1764705882356</v>
      </c>
      <c r="AR14" s="132">
        <f>IF(AP14="Si tiene IVA",AQ14*19%,0)</f>
        <v>558.82352941176475</v>
      </c>
      <c r="AS14" s="132">
        <f>AQ14+AR14</f>
        <v>3500.0000000000005</v>
      </c>
      <c r="AT14" s="132">
        <f>IF(AB14="","",(AN14*G14))</f>
        <v>3500</v>
      </c>
      <c r="AU14" s="132">
        <f>IF(AB14="","",(AS14*G14))</f>
        <v>3500.0000000000005</v>
      </c>
      <c r="AV14" s="133">
        <f t="shared" si="15"/>
        <v>3298</v>
      </c>
      <c r="AW14" s="133">
        <f t="shared" si="16"/>
        <v>3298</v>
      </c>
      <c r="AX14" s="133">
        <f t="shared" si="17"/>
        <v>203</v>
      </c>
      <c r="AY14" s="134">
        <f t="shared" ref="AY14:AY20" si="21">IF(N14="","",(AX14/AW14))</f>
        <v>6.1552456033959979E-2</v>
      </c>
      <c r="AZ14" s="5"/>
      <c r="BA14" s="7">
        <f t="shared" ref="BA14:BA20" si="22">COUNTA(M14,Z14,AM14)</f>
        <v>3</v>
      </c>
      <c r="BB14" s="7"/>
    </row>
    <row r="15" spans="1:54" ht="81">
      <c r="A15" s="105" t="s">
        <v>181</v>
      </c>
      <c r="B15" s="105" t="s">
        <v>241</v>
      </c>
      <c r="C15" s="105">
        <v>90101603</v>
      </c>
      <c r="D15" s="105" t="s">
        <v>268</v>
      </c>
      <c r="E15" s="106" t="s">
        <v>269</v>
      </c>
      <c r="F15" s="107" t="s">
        <v>270</v>
      </c>
      <c r="G15" s="108">
        <v>1</v>
      </c>
      <c r="H15" s="107" t="s">
        <v>186</v>
      </c>
      <c r="I15" s="109" t="s">
        <v>187</v>
      </c>
      <c r="J15" s="110">
        <v>46134</v>
      </c>
      <c r="K15" s="111" t="s">
        <v>271</v>
      </c>
      <c r="L15" s="112" t="s">
        <v>194</v>
      </c>
      <c r="M15" s="110" t="s">
        <v>272</v>
      </c>
      <c r="N15" s="113">
        <v>37000</v>
      </c>
      <c r="O15" s="113" t="s">
        <v>273</v>
      </c>
      <c r="P15" s="113" t="s">
        <v>274</v>
      </c>
      <c r="Q15" s="114">
        <f>IF(O15="IVA Incluido",(N15/1.19),IF(O15="Ipoconsumo Incluido",(N15/1.08),N15))</f>
        <v>37000</v>
      </c>
      <c r="R15" s="115">
        <f>IF(P15="Si tiene IVA",Q15*19%,IF(P15="Si tiene IPOCONSUMO",Q15*8%,0))</f>
        <v>2960</v>
      </c>
      <c r="S15" s="115">
        <f t="shared" si="19"/>
        <v>39960</v>
      </c>
      <c r="T15" s="115">
        <f>IF(R15="IVA Incluido",(Q15/1.19),IF(R15="Ipoconsumo Incluido",(Q15/1.08),Q15))</f>
        <v>37000</v>
      </c>
      <c r="U15" s="115">
        <f>Q15+R15</f>
        <v>39960</v>
      </c>
      <c r="V15" s="116" t="s">
        <v>187</v>
      </c>
      <c r="W15" s="117">
        <v>46134</v>
      </c>
      <c r="X15" s="118" t="s">
        <v>275</v>
      </c>
      <c r="Y15" s="119" t="s">
        <v>194</v>
      </c>
      <c r="Z15" s="120" t="s">
        <v>276</v>
      </c>
      <c r="AA15" s="121">
        <v>45000</v>
      </c>
      <c r="AB15" s="121" t="s">
        <v>273</v>
      </c>
      <c r="AC15" s="121" t="s">
        <v>274</v>
      </c>
      <c r="AD15" s="122">
        <f>IF(AB15="IVA Incluido",(AA15/1.19),IF(AB15="Ipoconsumo Incluido",(AA15/1.08),AA15))</f>
        <v>45000</v>
      </c>
      <c r="AE15" s="123">
        <f>IF(AC15="Si tiene IVA",AD15*19%,IF(AC15="Si tiene IPOCONSUMO",AD15*8%,0))</f>
        <v>3600</v>
      </c>
      <c r="AF15" s="123">
        <f t="shared" si="20"/>
        <v>48600</v>
      </c>
      <c r="AG15" s="123">
        <f>IF(AE15="IVA Incluido",(AD15/1.19),IF(AE15="Ipoconsumo Incluido",(AD15/1.08),AD15))</f>
        <v>45000</v>
      </c>
      <c r="AH15" s="123">
        <f>AD15+AE15</f>
        <v>48600</v>
      </c>
      <c r="AI15" s="124" t="s">
        <v>187</v>
      </c>
      <c r="AJ15" s="125">
        <v>46134</v>
      </c>
      <c r="AK15" s="126" t="s">
        <v>277</v>
      </c>
      <c r="AL15" s="127" t="s">
        <v>194</v>
      </c>
      <c r="AM15" s="128" t="s">
        <v>278</v>
      </c>
      <c r="AN15" s="129">
        <v>31512</v>
      </c>
      <c r="AO15" s="129" t="s">
        <v>273</v>
      </c>
      <c r="AP15" s="130" t="s">
        <v>274</v>
      </c>
      <c r="AQ15" s="131">
        <f>IF(AO15="IVA Incluido",(AN15/1.19),IF(AO15="Ipoconsumo Incluido",(AN15/1.08),AN15))</f>
        <v>31512</v>
      </c>
      <c r="AR15" s="132">
        <f>IF(AP15="Si tiene IVA",AQ15*19%,IF(AP15="Si tiene IPOCONSUMO",AQ15*8%,0))</f>
        <v>2520.96</v>
      </c>
      <c r="AS15" s="132">
        <f>AQ15+AR15</f>
        <v>34032.959999999999</v>
      </c>
      <c r="AT15" s="132">
        <f>IF(AR15="IVA Incluido",(AQ15/1.19),IF(AR15="Ipoconsumo Incluido",(AQ15/1.08),AQ15))</f>
        <v>31512</v>
      </c>
      <c r="AU15" s="132">
        <f>AQ15+AR15</f>
        <v>34032.959999999999</v>
      </c>
      <c r="AV15" s="133">
        <f t="shared" si="15"/>
        <v>40864</v>
      </c>
      <c r="AW15" s="133">
        <f t="shared" si="16"/>
        <v>40864</v>
      </c>
      <c r="AX15" s="133">
        <f t="shared" si="17"/>
        <v>7326</v>
      </c>
      <c r="AY15" s="134">
        <f t="shared" si="21"/>
        <v>0.17927760375880972</v>
      </c>
      <c r="AZ15" s="5"/>
      <c r="BA15" s="7">
        <f t="shared" si="22"/>
        <v>3</v>
      </c>
      <c r="BB15" s="7"/>
    </row>
    <row r="16" spans="1:54" ht="67.5">
      <c r="A16" s="105" t="s">
        <v>181</v>
      </c>
      <c r="B16" s="105" t="s">
        <v>241</v>
      </c>
      <c r="C16" s="105">
        <v>90101603</v>
      </c>
      <c r="D16" s="105" t="s">
        <v>279</v>
      </c>
      <c r="E16" s="106" t="s">
        <v>280</v>
      </c>
      <c r="F16" s="107" t="s">
        <v>270</v>
      </c>
      <c r="G16" s="108">
        <v>1</v>
      </c>
      <c r="H16" s="107" t="s">
        <v>186</v>
      </c>
      <c r="I16" s="109" t="s">
        <v>187</v>
      </c>
      <c r="J16" s="110">
        <v>46134</v>
      </c>
      <c r="K16" s="111" t="s">
        <v>271</v>
      </c>
      <c r="L16" s="112" t="s">
        <v>194</v>
      </c>
      <c r="M16" s="110" t="s">
        <v>272</v>
      </c>
      <c r="N16" s="113">
        <v>32000</v>
      </c>
      <c r="O16" s="113" t="s">
        <v>273</v>
      </c>
      <c r="P16" s="113" t="s">
        <v>274</v>
      </c>
      <c r="Q16" s="114">
        <f>IF(O16="IVA Incluido",(N16/1.19),IF(O16="Ipoconsumo Incluido",(N16/1.08),N16))</f>
        <v>32000</v>
      </c>
      <c r="R16" s="115">
        <f>IF(P16="Si tiene IVA",Q16*19%,IF(P16="Si tiene IPOCONSUMO",Q16*8%,0))</f>
        <v>2560</v>
      </c>
      <c r="S16" s="115">
        <f t="shared" si="19"/>
        <v>34560</v>
      </c>
      <c r="T16" s="115">
        <f>IF(R16="IVA Incluido",(Q16/1.19),IF(R16="Ipoconsumo Incluido",(Q16/1.08),Q16))</f>
        <v>32000</v>
      </c>
      <c r="U16" s="115">
        <f>Q16+R16</f>
        <v>34560</v>
      </c>
      <c r="V16" s="116" t="s">
        <v>187</v>
      </c>
      <c r="W16" s="117">
        <v>46134</v>
      </c>
      <c r="X16" s="118" t="s">
        <v>275</v>
      </c>
      <c r="Y16" s="119" t="s">
        <v>194</v>
      </c>
      <c r="Z16" s="120" t="s">
        <v>276</v>
      </c>
      <c r="AA16" s="121">
        <v>45000</v>
      </c>
      <c r="AB16" s="121" t="s">
        <v>273</v>
      </c>
      <c r="AC16" s="121" t="s">
        <v>274</v>
      </c>
      <c r="AD16" s="122">
        <f>IF(AB16="IVA Incluido",(AA16/1.19),IF(AB16="Ipoconsumo Incluido",(AA16/1.08),AA16))</f>
        <v>45000</v>
      </c>
      <c r="AE16" s="123">
        <f>IF(AC16="Si tiene IVA",AD16*19%,IF(AC16="Si tiene IPOCONSUMO",AD16*8%,0))</f>
        <v>3600</v>
      </c>
      <c r="AF16" s="123">
        <f t="shared" si="20"/>
        <v>48600</v>
      </c>
      <c r="AG16" s="123">
        <f>IF(AE16="IVA Incluido",(AD16/1.19),IF(AE16="Ipoconsumo Incluido",(AD16/1.08),AD16))</f>
        <v>45000</v>
      </c>
      <c r="AH16" s="123">
        <f>AD16+AE16</f>
        <v>48600</v>
      </c>
      <c r="AI16" s="124"/>
      <c r="AJ16" s="125"/>
      <c r="AK16" s="126"/>
      <c r="AL16" s="127"/>
      <c r="AM16" s="128"/>
      <c r="AN16" s="129"/>
      <c r="AO16" s="129"/>
      <c r="AP16" s="130"/>
      <c r="AQ16" s="131"/>
      <c r="AR16" s="132"/>
      <c r="AS16" s="132"/>
      <c r="AT16" s="132"/>
      <c r="AU16" s="132"/>
      <c r="AV16" s="133">
        <f t="shared" si="15"/>
        <v>41580</v>
      </c>
      <c r="AW16" s="133">
        <f t="shared" si="16"/>
        <v>41580</v>
      </c>
      <c r="AX16" s="133">
        <f t="shared" si="17"/>
        <v>9928</v>
      </c>
      <c r="AY16" s="134">
        <f t="shared" si="21"/>
        <v>0.23876863876863877</v>
      </c>
      <c r="AZ16" s="5"/>
      <c r="BA16" s="7">
        <f t="shared" si="22"/>
        <v>2</v>
      </c>
      <c r="BB16" s="7"/>
    </row>
    <row r="17" spans="1:54" ht="81">
      <c r="A17" s="105" t="s">
        <v>181</v>
      </c>
      <c r="B17" s="105" t="s">
        <v>241</v>
      </c>
      <c r="C17" s="105">
        <v>90101603</v>
      </c>
      <c r="D17" s="105" t="s">
        <v>281</v>
      </c>
      <c r="E17" s="106" t="s">
        <v>282</v>
      </c>
      <c r="F17" s="107" t="s">
        <v>270</v>
      </c>
      <c r="G17" s="108">
        <v>1</v>
      </c>
      <c r="H17" s="107" t="s">
        <v>186</v>
      </c>
      <c r="I17" s="109" t="s">
        <v>187</v>
      </c>
      <c r="J17" s="110">
        <v>46134</v>
      </c>
      <c r="K17" s="111" t="s">
        <v>271</v>
      </c>
      <c r="L17" s="112" t="s">
        <v>194</v>
      </c>
      <c r="M17" s="110" t="s">
        <v>272</v>
      </c>
      <c r="N17" s="113">
        <v>30000</v>
      </c>
      <c r="O17" s="113" t="s">
        <v>273</v>
      </c>
      <c r="P17" s="113" t="s">
        <v>274</v>
      </c>
      <c r="Q17" s="114">
        <f>IF(O17="IVA Incluido",(N17/1.19),IF(O17="Ipoconsumo Incluido",(N17/1.08),N17))</f>
        <v>30000</v>
      </c>
      <c r="R17" s="115">
        <f>IF(P17="Si tiene IVA",Q17*19%,IF(P17="Si tiene IPOCONSUMO",Q17*8%,0))</f>
        <v>2400</v>
      </c>
      <c r="S17" s="115">
        <f t="shared" si="19"/>
        <v>32400</v>
      </c>
      <c r="T17" s="115">
        <f>IF(R17="IVA Incluido",(Q17/1.19),IF(R17="Ipoconsumo Incluido",(Q17/1.08),Q17))</f>
        <v>30000</v>
      </c>
      <c r="U17" s="115">
        <f>Q17+R17</f>
        <v>32400</v>
      </c>
      <c r="V17" s="116" t="s">
        <v>187</v>
      </c>
      <c r="W17" s="117">
        <v>46149</v>
      </c>
      <c r="X17" s="118" t="s">
        <v>275</v>
      </c>
      <c r="Y17" s="119" t="s">
        <v>189</v>
      </c>
      <c r="Z17" s="120" t="s">
        <v>276</v>
      </c>
      <c r="AA17" s="121">
        <v>45000</v>
      </c>
      <c r="AB17" s="121" t="s">
        <v>273</v>
      </c>
      <c r="AC17" s="121" t="s">
        <v>274</v>
      </c>
      <c r="AD17" s="122">
        <f>IF(AB17="IVA Incluido",(AA17/1.19),IF(AB17="Ipoconsumo Incluido",(AA17/1.08),AA17))</f>
        <v>45000</v>
      </c>
      <c r="AE17" s="123">
        <f>IF(AC17="Si tiene IVA",AD17*19%,IF(AC17="Si tiene IPOCONSUMO",AD17*8%,0))</f>
        <v>3600</v>
      </c>
      <c r="AF17" s="123">
        <f t="shared" si="20"/>
        <v>48600</v>
      </c>
      <c r="AG17" s="123">
        <f>IF(O17="","",(AA17*G17))</f>
        <v>45000</v>
      </c>
      <c r="AH17" s="123">
        <f>IF(O17="","",(AF17*G17))</f>
        <v>48600</v>
      </c>
      <c r="AI17" s="124" t="s">
        <v>187</v>
      </c>
      <c r="AJ17" s="125">
        <v>46149</v>
      </c>
      <c r="AK17" s="126" t="s">
        <v>277</v>
      </c>
      <c r="AL17" s="127" t="s">
        <v>189</v>
      </c>
      <c r="AM17" s="128" t="s">
        <v>278</v>
      </c>
      <c r="AN17" s="129">
        <v>33445</v>
      </c>
      <c r="AO17" s="129" t="s">
        <v>273</v>
      </c>
      <c r="AP17" s="130" t="s">
        <v>274</v>
      </c>
      <c r="AQ17" s="131">
        <f>IF(AO17="IVA Incluido",(AN17/1.19),IF(AO17="Ipoconsumo Incluido",(AN17/1.08),AN17))</f>
        <v>33445</v>
      </c>
      <c r="AR17" s="132">
        <f>IF(AP17="Si tiene IVA",AQ17*19%,IF(AP17="Si tiene IPOCONSUMO",AQ17*8%,0))</f>
        <v>2675.6</v>
      </c>
      <c r="AS17" s="132">
        <f>AQ17+AR17</f>
        <v>36120.6</v>
      </c>
      <c r="AT17" s="132">
        <f>IF(AR17="IVA Incluido",(AQ17/1.19),IF(AR17="Ipoconsumo Incluido",(AQ17/1.08),AQ17))</f>
        <v>33445</v>
      </c>
      <c r="AU17" s="132">
        <f>AQ17+AR17</f>
        <v>36120.6</v>
      </c>
      <c r="AV17" s="133">
        <f t="shared" si="15"/>
        <v>39040</v>
      </c>
      <c r="AW17" s="133">
        <f t="shared" si="16"/>
        <v>39040</v>
      </c>
      <c r="AX17" s="133">
        <f t="shared" si="17"/>
        <v>8485</v>
      </c>
      <c r="AY17" s="134">
        <f t="shared" si="21"/>
        <v>0.21734118852459017</v>
      </c>
      <c r="AZ17" s="5"/>
      <c r="BA17" s="7">
        <f t="shared" si="22"/>
        <v>3</v>
      </c>
      <c r="BB17" s="7"/>
    </row>
    <row r="18" spans="1:54" ht="81">
      <c r="A18" s="105" t="s">
        <v>181</v>
      </c>
      <c r="B18" s="105" t="s">
        <v>241</v>
      </c>
      <c r="C18" s="105">
        <v>90101603</v>
      </c>
      <c r="D18" s="105" t="s">
        <v>283</v>
      </c>
      <c r="E18" s="106" t="s">
        <v>284</v>
      </c>
      <c r="F18" s="107" t="s">
        <v>270</v>
      </c>
      <c r="G18" s="108">
        <v>1</v>
      </c>
      <c r="H18" s="107" t="s">
        <v>186</v>
      </c>
      <c r="I18" s="109" t="s">
        <v>187</v>
      </c>
      <c r="J18" s="110">
        <v>46134</v>
      </c>
      <c r="K18" s="111" t="s">
        <v>271</v>
      </c>
      <c r="L18" s="112" t="s">
        <v>194</v>
      </c>
      <c r="M18" s="110" t="s">
        <v>272</v>
      </c>
      <c r="N18" s="113">
        <v>34000</v>
      </c>
      <c r="O18" s="113" t="s">
        <v>273</v>
      </c>
      <c r="P18" s="113" t="s">
        <v>274</v>
      </c>
      <c r="Q18" s="114">
        <f>IF(O18="IVA Incluido",(N18/1.19),IF(O18="Ipoconsumo Incluido",(N18/1.08),N18))</f>
        <v>34000</v>
      </c>
      <c r="R18" s="115">
        <f>IF(P18="Si tiene IVA",Q18*19%,IF(P18="Si tiene IPOCONSUMO",Q18*8%,0))</f>
        <v>2720</v>
      </c>
      <c r="S18" s="115">
        <f t="shared" si="19"/>
        <v>36720</v>
      </c>
      <c r="T18" s="115">
        <f>IF(R18="IVA Incluido",(Q18/1.19),IF(R18="Ipoconsumo Incluido",(Q18/1.08),Q18))</f>
        <v>34000</v>
      </c>
      <c r="U18" s="115">
        <f>Q18+R18</f>
        <v>36720</v>
      </c>
      <c r="V18" s="116" t="s">
        <v>187</v>
      </c>
      <c r="W18" s="117">
        <v>46134</v>
      </c>
      <c r="X18" s="118" t="s">
        <v>275</v>
      </c>
      <c r="Y18" s="119" t="s">
        <v>194</v>
      </c>
      <c r="Z18" s="120" t="s">
        <v>276</v>
      </c>
      <c r="AA18" s="121">
        <v>45000</v>
      </c>
      <c r="AB18" s="121" t="s">
        <v>273</v>
      </c>
      <c r="AC18" s="121" t="s">
        <v>274</v>
      </c>
      <c r="AD18" s="122">
        <f>IF(AB18="IVA Incluido",(AA18/1.19),IF(AB18="Ipoconsumo Incluido",(AA18/1.08),AA18))</f>
        <v>45000</v>
      </c>
      <c r="AE18" s="123">
        <f>IF(AC18="Si tiene IVA",AD18*19%,IF(AC18="Si tiene IPOCONSUMO",AD18*8%,0))</f>
        <v>3600</v>
      </c>
      <c r="AF18" s="123">
        <f t="shared" si="20"/>
        <v>48600</v>
      </c>
      <c r="AG18" s="123">
        <f>IF(AE18="IVA Incluido",(AD18/1.19),IF(AE18="Ipoconsumo Incluido",(AD18/1.08),AD18))</f>
        <v>45000</v>
      </c>
      <c r="AH18" s="123">
        <f>AD18+AE18</f>
        <v>48600</v>
      </c>
      <c r="AI18" s="124" t="s">
        <v>187</v>
      </c>
      <c r="AJ18" s="125">
        <v>46094</v>
      </c>
      <c r="AK18" s="126" t="s">
        <v>277</v>
      </c>
      <c r="AL18" s="127" t="s">
        <v>194</v>
      </c>
      <c r="AM18" s="128" t="s">
        <v>278</v>
      </c>
      <c r="AN18" s="129">
        <v>33445</v>
      </c>
      <c r="AO18" s="129" t="s">
        <v>273</v>
      </c>
      <c r="AP18" s="130" t="s">
        <v>274</v>
      </c>
      <c r="AQ18" s="131">
        <f>IF(AO18="IVA Incluido",(AN18/1.19),IF(AO18="Ipoconsumo Incluido",(AN18/1.08),AN18))</f>
        <v>33445</v>
      </c>
      <c r="AR18" s="132">
        <f>IF(AP18="Si tiene IVA",AQ18*19%,IF(AP18="Si tiene IPOCONSUMO",AQ18*8%,0))</f>
        <v>2675.6</v>
      </c>
      <c r="AS18" s="132">
        <f>AQ18+AR18</f>
        <v>36120.6</v>
      </c>
      <c r="AT18" s="132">
        <f>IF(AR18="IVA Incluido",(AQ18/1.19),IF(AR18="Ipoconsumo Incluido",(AQ18/1.08),AQ18))</f>
        <v>33445</v>
      </c>
      <c r="AU18" s="132">
        <f>AQ18+AR18</f>
        <v>36120.6</v>
      </c>
      <c r="AV18" s="133">
        <f t="shared" si="15"/>
        <v>40480</v>
      </c>
      <c r="AW18" s="133">
        <f t="shared" si="16"/>
        <v>40480</v>
      </c>
      <c r="AX18" s="133">
        <f t="shared" si="17"/>
        <v>7038</v>
      </c>
      <c r="AY18" s="134">
        <f t="shared" si="21"/>
        <v>0.17386363636363636</v>
      </c>
      <c r="AZ18" s="5"/>
      <c r="BA18" s="7">
        <f t="shared" si="22"/>
        <v>3</v>
      </c>
      <c r="BB18" s="7"/>
    </row>
    <row r="19" spans="1:54" ht="94.5">
      <c r="A19" s="105" t="s">
        <v>181</v>
      </c>
      <c r="B19" s="105" t="s">
        <v>241</v>
      </c>
      <c r="C19" s="105" t="s">
        <v>285</v>
      </c>
      <c r="D19" s="105" t="s">
        <v>286</v>
      </c>
      <c r="E19" s="106" t="s">
        <v>287</v>
      </c>
      <c r="F19" s="107" t="s">
        <v>185</v>
      </c>
      <c r="G19" s="108">
        <v>1</v>
      </c>
      <c r="H19" s="107" t="s">
        <v>288</v>
      </c>
      <c r="I19" s="109" t="s">
        <v>187</v>
      </c>
      <c r="J19" s="110">
        <v>46153</v>
      </c>
      <c r="K19" s="111" t="s">
        <v>289</v>
      </c>
      <c r="L19" s="112" t="s">
        <v>194</v>
      </c>
      <c r="M19" s="110" t="s">
        <v>290</v>
      </c>
      <c r="N19" s="113">
        <v>3750000</v>
      </c>
      <c r="O19" s="113" t="s">
        <v>198</v>
      </c>
      <c r="P19" s="113" t="s">
        <v>192</v>
      </c>
      <c r="Q19" s="114">
        <f>IF(O19="IVA Incluido",(N19/1.19),N19)</f>
        <v>3750000</v>
      </c>
      <c r="R19" s="115">
        <f>IF(P19="Si tiene IVA",Q19*19%,0)</f>
        <v>712500</v>
      </c>
      <c r="S19" s="115">
        <f t="shared" si="19"/>
        <v>4462500</v>
      </c>
      <c r="T19" s="115">
        <f>IF(B19="","",(N19*G19))</f>
        <v>3750000</v>
      </c>
      <c r="U19" s="115">
        <f>IF(B19="","",(S19*G19))</f>
        <v>4462500</v>
      </c>
      <c r="V19" s="116" t="s">
        <v>187</v>
      </c>
      <c r="W19" s="117">
        <v>46153</v>
      </c>
      <c r="X19" s="118" t="s">
        <v>291</v>
      </c>
      <c r="Y19" s="119" t="s">
        <v>194</v>
      </c>
      <c r="Z19" s="120" t="s">
        <v>292</v>
      </c>
      <c r="AA19" s="121">
        <v>5000000</v>
      </c>
      <c r="AB19" s="121" t="s">
        <v>198</v>
      </c>
      <c r="AC19" s="121" t="s">
        <v>192</v>
      </c>
      <c r="AD19" s="122">
        <f>IF(AB19="IVA Incluido",(AA19/1.19),AA19)</f>
        <v>5000000</v>
      </c>
      <c r="AE19" s="123">
        <f>IF(AC19="Si tiene IVA",AD19*19%,0)</f>
        <v>950000</v>
      </c>
      <c r="AF19" s="123">
        <f t="shared" si="20"/>
        <v>5950000</v>
      </c>
      <c r="AG19" s="123">
        <f>IF(O19="","",(AA19*G19))</f>
        <v>5000000</v>
      </c>
      <c r="AH19" s="123">
        <f>IF(O19="","",(AF19*G19))</f>
        <v>5950000</v>
      </c>
      <c r="AI19" s="124" t="s">
        <v>187</v>
      </c>
      <c r="AJ19" s="125">
        <v>46153</v>
      </c>
      <c r="AK19" s="126" t="s">
        <v>293</v>
      </c>
      <c r="AL19" s="127" t="s">
        <v>194</v>
      </c>
      <c r="AM19" s="128" t="s">
        <v>294</v>
      </c>
      <c r="AN19" s="129">
        <v>4200000</v>
      </c>
      <c r="AO19" s="129" t="s">
        <v>198</v>
      </c>
      <c r="AP19" s="130" t="s">
        <v>192</v>
      </c>
      <c r="AQ19" s="131">
        <f>IF(AO19="IVA Incluido",(AN19/1.19),AN19)</f>
        <v>4200000</v>
      </c>
      <c r="AR19" s="132">
        <f>IF(AP19="Si tiene IVA",AQ19*19%,0)</f>
        <v>798000</v>
      </c>
      <c r="AS19" s="132">
        <f>AQ19+AR19</f>
        <v>4998000</v>
      </c>
      <c r="AT19" s="132">
        <f>IF(AB19="","",(AN19*G19))</f>
        <v>4200000</v>
      </c>
      <c r="AU19" s="132">
        <f>IF(AB19="","",(AS19*G19))</f>
        <v>4998000</v>
      </c>
      <c r="AV19" s="133">
        <f t="shared" si="15"/>
        <v>5136833</v>
      </c>
      <c r="AW19" s="133">
        <f t="shared" si="16"/>
        <v>5136833</v>
      </c>
      <c r="AX19" s="133">
        <f t="shared" si="17"/>
        <v>753406</v>
      </c>
      <c r="AY19" s="134">
        <f t="shared" si="21"/>
        <v>0.14666741161334232</v>
      </c>
      <c r="AZ19" s="5"/>
      <c r="BA19" s="7">
        <f t="shared" si="22"/>
        <v>3</v>
      </c>
      <c r="BB19" s="7"/>
    </row>
    <row r="20" spans="1:54" ht="90">
      <c r="A20" s="105" t="s">
        <v>181</v>
      </c>
      <c r="B20" s="105" t="s">
        <v>241</v>
      </c>
      <c r="C20" s="105" t="s">
        <v>295</v>
      </c>
      <c r="D20" s="105" t="s">
        <v>296</v>
      </c>
      <c r="E20" s="106" t="s">
        <v>297</v>
      </c>
      <c r="F20" s="107" t="s">
        <v>270</v>
      </c>
      <c r="G20" s="108">
        <v>1</v>
      </c>
      <c r="H20" s="107" t="s">
        <v>288</v>
      </c>
      <c r="I20" s="109" t="s">
        <v>187</v>
      </c>
      <c r="J20" s="110">
        <v>46134</v>
      </c>
      <c r="K20" s="111" t="s">
        <v>298</v>
      </c>
      <c r="L20" s="112" t="s">
        <v>194</v>
      </c>
      <c r="M20" s="110" t="s">
        <v>299</v>
      </c>
      <c r="N20" s="113">
        <v>1020000</v>
      </c>
      <c r="O20" s="113" t="s">
        <v>198</v>
      </c>
      <c r="P20" s="113" t="s">
        <v>218</v>
      </c>
      <c r="Q20" s="114">
        <v>1360000</v>
      </c>
      <c r="R20" s="115">
        <f>IF(P20="Si tiene IVA",Q20*19%,0)</f>
        <v>0</v>
      </c>
      <c r="S20" s="115">
        <f t="shared" si="19"/>
        <v>1360000</v>
      </c>
      <c r="T20" s="115">
        <f>IF(B20="","",(N20*G20))</f>
        <v>1020000</v>
      </c>
      <c r="U20" s="115">
        <f>IF(B20="","",(S20*G20))</f>
        <v>1360000</v>
      </c>
      <c r="V20" s="116" t="s">
        <v>187</v>
      </c>
      <c r="W20" s="117">
        <v>46134</v>
      </c>
      <c r="X20" s="118" t="s">
        <v>277</v>
      </c>
      <c r="Y20" s="119" t="s">
        <v>194</v>
      </c>
      <c r="Z20" s="120" t="s">
        <v>278</v>
      </c>
      <c r="AA20" s="121">
        <v>1280000</v>
      </c>
      <c r="AB20" s="121" t="s">
        <v>198</v>
      </c>
      <c r="AC20" s="121" t="s">
        <v>218</v>
      </c>
      <c r="AD20" s="122">
        <f>IF(AB20="IVA Incluido",(AA20/1.19),AA20)</f>
        <v>1280000</v>
      </c>
      <c r="AE20" s="123">
        <f>IF(AC20="Si tiene IVA",AD20*19%,0)</f>
        <v>0</v>
      </c>
      <c r="AF20" s="123">
        <f t="shared" si="20"/>
        <v>1280000</v>
      </c>
      <c r="AG20" s="123">
        <f>IF(O20="","",(AA20*G20))</f>
        <v>1280000</v>
      </c>
      <c r="AH20" s="123">
        <f>IF(O20="","",(AF20*G20))</f>
        <v>1280000</v>
      </c>
      <c r="AI20" s="124" t="s">
        <v>187</v>
      </c>
      <c r="AJ20" s="125">
        <v>46134</v>
      </c>
      <c r="AK20" s="126" t="s">
        <v>300</v>
      </c>
      <c r="AL20" s="127" t="s">
        <v>194</v>
      </c>
      <c r="AM20" s="128" t="s">
        <v>300</v>
      </c>
      <c r="AN20" s="129">
        <v>1394000</v>
      </c>
      <c r="AO20" s="129" t="s">
        <v>198</v>
      </c>
      <c r="AP20" s="130" t="s">
        <v>218</v>
      </c>
      <c r="AQ20" s="131">
        <f>IF(AO20="IVA Incluido",(AN20/1.19),AN20)</f>
        <v>1394000</v>
      </c>
      <c r="AR20" s="132">
        <f>IF(AP20="Si tiene IVA",AQ20*19%,0)</f>
        <v>0</v>
      </c>
      <c r="AS20" s="132">
        <f>AQ20+AR20</f>
        <v>1394000</v>
      </c>
      <c r="AT20" s="132">
        <f>IF(AB20="","",(AN20*G20))</f>
        <v>1394000</v>
      </c>
      <c r="AU20" s="132">
        <f>IF(AB20="","",(AS20*G20))</f>
        <v>1394000</v>
      </c>
      <c r="AV20" s="133">
        <f t="shared" si="15"/>
        <v>1344667</v>
      </c>
      <c r="AW20" s="133">
        <f t="shared" si="16"/>
        <v>1344667</v>
      </c>
      <c r="AX20" s="133">
        <f t="shared" si="17"/>
        <v>58526</v>
      </c>
      <c r="AY20" s="134">
        <f t="shared" si="21"/>
        <v>4.3524530608693456E-2</v>
      </c>
      <c r="AZ20" s="5"/>
      <c r="BA20" s="7">
        <f t="shared" si="22"/>
        <v>3</v>
      </c>
      <c r="BB20" s="7" t="s">
        <v>301</v>
      </c>
    </row>
    <row r="21" spans="1:54" ht="297">
      <c r="A21" s="105" t="s">
        <v>252</v>
      </c>
      <c r="B21" s="105" t="s">
        <v>252</v>
      </c>
      <c r="C21" s="105" t="s">
        <v>252</v>
      </c>
      <c r="D21" s="105" t="s">
        <v>302</v>
      </c>
      <c r="E21" s="106" t="s">
        <v>303</v>
      </c>
      <c r="F21" s="107" t="s">
        <v>255</v>
      </c>
      <c r="G21" s="108">
        <v>1</v>
      </c>
      <c r="H21" s="107"/>
      <c r="I21" s="109"/>
      <c r="J21" s="110"/>
      <c r="K21" s="111"/>
      <c r="L21" s="112"/>
      <c r="M21" s="110"/>
      <c r="N21" s="113"/>
      <c r="O21" s="113"/>
      <c r="P21" s="113"/>
      <c r="Q21" s="114" t="s">
        <v>256</v>
      </c>
      <c r="R21" s="115" t="s">
        <v>256</v>
      </c>
      <c r="S21" s="115" t="s">
        <v>256</v>
      </c>
      <c r="T21" s="115" t="s">
        <v>256</v>
      </c>
      <c r="U21" s="115" t="s">
        <v>256</v>
      </c>
      <c r="V21" s="116" t="s">
        <v>252</v>
      </c>
      <c r="W21" s="117" t="s">
        <v>252</v>
      </c>
      <c r="X21" s="118" t="s">
        <v>252</v>
      </c>
      <c r="Y21" s="119" t="s">
        <v>252</v>
      </c>
      <c r="Z21" s="120" t="s">
        <v>257</v>
      </c>
      <c r="AA21" s="121" t="s">
        <v>252</v>
      </c>
      <c r="AB21" s="121" t="s">
        <v>252</v>
      </c>
      <c r="AC21" s="121" t="s">
        <v>252</v>
      </c>
      <c r="AD21" s="122" t="s">
        <v>252</v>
      </c>
      <c r="AE21" s="123" t="s">
        <v>252</v>
      </c>
      <c r="AF21" s="123">
        <f t="shared" ref="AF21:AF26" si="23">AH21/1.19</f>
        <v>3265566.3865546221</v>
      </c>
      <c r="AG21" s="123">
        <f t="shared" ref="AG21:AG26" si="24">AF21*19%</f>
        <v>620457.61344537826</v>
      </c>
      <c r="AH21" s="123">
        <v>3886024</v>
      </c>
      <c r="AI21" s="124" t="s">
        <v>252</v>
      </c>
      <c r="AJ21" s="125" t="s">
        <v>252</v>
      </c>
      <c r="AK21" s="126" t="s">
        <v>252</v>
      </c>
      <c r="AL21" s="127" t="s">
        <v>252</v>
      </c>
      <c r="AM21" s="128" t="s">
        <v>258</v>
      </c>
      <c r="AN21" s="129" t="s">
        <v>252</v>
      </c>
      <c r="AO21" s="129" t="s">
        <v>252</v>
      </c>
      <c r="AP21" s="130" t="s">
        <v>252</v>
      </c>
      <c r="AQ21" s="131">
        <v>3155435</v>
      </c>
      <c r="AR21" s="132">
        <v>599533</v>
      </c>
      <c r="AS21" s="132">
        <v>3754968</v>
      </c>
      <c r="AT21" s="132">
        <v>3155435</v>
      </c>
      <c r="AU21" s="132">
        <v>3754968</v>
      </c>
      <c r="AV21" s="133">
        <f t="shared" si="15"/>
        <v>3510267</v>
      </c>
      <c r="AW21" s="133">
        <f t="shared" si="16"/>
        <v>3510267</v>
      </c>
      <c r="AX21" s="133" t="str">
        <f t="shared" si="17"/>
        <v/>
      </c>
      <c r="AY21" s="134">
        <v>2.4299999999999999E-2</v>
      </c>
      <c r="AZ21" s="5"/>
      <c r="BA21" s="7"/>
      <c r="BB21" s="7"/>
    </row>
    <row r="22" spans="1:54" ht="297">
      <c r="A22" s="105" t="s">
        <v>252</v>
      </c>
      <c r="B22" s="105" t="s">
        <v>252</v>
      </c>
      <c r="C22" s="105" t="s">
        <v>252</v>
      </c>
      <c r="D22" s="105" t="s">
        <v>304</v>
      </c>
      <c r="E22" s="106" t="s">
        <v>305</v>
      </c>
      <c r="F22" s="107" t="s">
        <v>255</v>
      </c>
      <c r="G22" s="108">
        <v>1</v>
      </c>
      <c r="H22" s="107"/>
      <c r="I22" s="109"/>
      <c r="J22" s="110"/>
      <c r="K22" s="111"/>
      <c r="L22" s="112"/>
      <c r="M22" s="110"/>
      <c r="N22" s="113"/>
      <c r="O22" s="113"/>
      <c r="P22" s="113"/>
      <c r="Q22" s="114" t="s">
        <v>256</v>
      </c>
      <c r="R22" s="115" t="s">
        <v>256</v>
      </c>
      <c r="S22" s="115" t="s">
        <v>256</v>
      </c>
      <c r="T22" s="115" t="s">
        <v>256</v>
      </c>
      <c r="U22" s="115" t="s">
        <v>256</v>
      </c>
      <c r="V22" s="116" t="s">
        <v>252</v>
      </c>
      <c r="W22" s="117" t="s">
        <v>252</v>
      </c>
      <c r="X22" s="118" t="s">
        <v>252</v>
      </c>
      <c r="Y22" s="119" t="s">
        <v>252</v>
      </c>
      <c r="Z22" s="120" t="s">
        <v>257</v>
      </c>
      <c r="AA22" s="121" t="s">
        <v>252</v>
      </c>
      <c r="AB22" s="121" t="s">
        <v>252</v>
      </c>
      <c r="AC22" s="121" t="s">
        <v>252</v>
      </c>
      <c r="AD22" s="122" t="s">
        <v>252</v>
      </c>
      <c r="AE22" s="123" t="s">
        <v>252</v>
      </c>
      <c r="AF22" s="123">
        <f t="shared" si="23"/>
        <v>397642.01680672274</v>
      </c>
      <c r="AG22" s="123">
        <f t="shared" si="24"/>
        <v>75551.983193277323</v>
      </c>
      <c r="AH22" s="123">
        <v>473194</v>
      </c>
      <c r="AI22" s="124" t="s">
        <v>252</v>
      </c>
      <c r="AJ22" s="125" t="s">
        <v>252</v>
      </c>
      <c r="AK22" s="126" t="s">
        <v>252</v>
      </c>
      <c r="AL22" s="127" t="s">
        <v>252</v>
      </c>
      <c r="AM22" s="128" t="s">
        <v>258</v>
      </c>
      <c r="AN22" s="129" t="s">
        <v>252</v>
      </c>
      <c r="AO22" s="129" t="s">
        <v>252</v>
      </c>
      <c r="AP22" s="130" t="s">
        <v>252</v>
      </c>
      <c r="AQ22" s="131">
        <v>395532</v>
      </c>
      <c r="AR22" s="132">
        <v>75151</v>
      </c>
      <c r="AS22" s="132">
        <v>470684</v>
      </c>
      <c r="AT22" s="132">
        <v>395532</v>
      </c>
      <c r="AU22" s="132">
        <v>470684</v>
      </c>
      <c r="AV22" s="133">
        <f t="shared" si="15"/>
        <v>434163</v>
      </c>
      <c r="AW22" s="133">
        <f t="shared" si="16"/>
        <v>434163</v>
      </c>
      <c r="AX22" s="133" t="str">
        <f t="shared" si="17"/>
        <v/>
      </c>
      <c r="AY22" s="134">
        <v>3.8E-3</v>
      </c>
      <c r="AZ22" s="5"/>
      <c r="BA22" s="7"/>
      <c r="BB22" s="7"/>
    </row>
    <row r="23" spans="1:54" ht="297">
      <c r="A23" s="105" t="s">
        <v>252</v>
      </c>
      <c r="B23" s="105" t="s">
        <v>252</v>
      </c>
      <c r="C23" s="105" t="s">
        <v>252</v>
      </c>
      <c r="D23" s="105" t="s">
        <v>306</v>
      </c>
      <c r="E23" s="106" t="s">
        <v>307</v>
      </c>
      <c r="F23" s="107" t="s">
        <v>255</v>
      </c>
      <c r="G23" s="108">
        <v>1</v>
      </c>
      <c r="H23" s="107"/>
      <c r="I23" s="109"/>
      <c r="J23" s="110"/>
      <c r="K23" s="111"/>
      <c r="L23" s="112"/>
      <c r="M23" s="110"/>
      <c r="N23" s="113"/>
      <c r="O23" s="113"/>
      <c r="P23" s="113"/>
      <c r="Q23" s="114" t="s">
        <v>256</v>
      </c>
      <c r="R23" s="115" t="s">
        <v>256</v>
      </c>
      <c r="S23" s="115" t="s">
        <v>256</v>
      </c>
      <c r="T23" s="115" t="s">
        <v>256</v>
      </c>
      <c r="U23" s="115" t="s">
        <v>256</v>
      </c>
      <c r="V23" s="116" t="s">
        <v>252</v>
      </c>
      <c r="W23" s="117" t="s">
        <v>252</v>
      </c>
      <c r="X23" s="118" t="s">
        <v>252</v>
      </c>
      <c r="Y23" s="119" t="s">
        <v>252</v>
      </c>
      <c r="Z23" s="120" t="s">
        <v>257</v>
      </c>
      <c r="AA23" s="121" t="s">
        <v>252</v>
      </c>
      <c r="AB23" s="121" t="s">
        <v>252</v>
      </c>
      <c r="AC23" s="121" t="s">
        <v>252</v>
      </c>
      <c r="AD23" s="122" t="s">
        <v>252</v>
      </c>
      <c r="AE23" s="123" t="s">
        <v>252</v>
      </c>
      <c r="AF23" s="123">
        <f t="shared" si="23"/>
        <v>222680.67226890757</v>
      </c>
      <c r="AG23" s="123">
        <f t="shared" si="24"/>
        <v>42309.327731092439</v>
      </c>
      <c r="AH23" s="123">
        <v>264990</v>
      </c>
      <c r="AI23" s="124" t="s">
        <v>252</v>
      </c>
      <c r="AJ23" s="125" t="s">
        <v>252</v>
      </c>
      <c r="AK23" s="126" t="s">
        <v>252</v>
      </c>
      <c r="AL23" s="127" t="s">
        <v>252</v>
      </c>
      <c r="AM23" s="128" t="s">
        <v>258</v>
      </c>
      <c r="AN23" s="129" t="s">
        <v>252</v>
      </c>
      <c r="AO23" s="129" t="s">
        <v>252</v>
      </c>
      <c r="AP23" s="130" t="s">
        <v>252</v>
      </c>
      <c r="AQ23" s="131">
        <v>221500</v>
      </c>
      <c r="AR23" s="132">
        <v>42085</v>
      </c>
      <c r="AS23" s="132">
        <v>263585</v>
      </c>
      <c r="AT23" s="132">
        <v>221500</v>
      </c>
      <c r="AU23" s="132">
        <v>263585</v>
      </c>
      <c r="AV23" s="133">
        <f t="shared" si="15"/>
        <v>243133</v>
      </c>
      <c r="AW23" s="133">
        <f t="shared" si="16"/>
        <v>243133</v>
      </c>
      <c r="AX23" s="133" t="str">
        <f t="shared" si="17"/>
        <v/>
      </c>
      <c r="AY23" s="134">
        <v>3.8E-3</v>
      </c>
      <c r="AZ23" s="5"/>
      <c r="BA23" s="7"/>
      <c r="BB23" s="7"/>
    </row>
    <row r="24" spans="1:54" ht="297">
      <c r="A24" s="105" t="s">
        <v>252</v>
      </c>
      <c r="B24" s="105" t="s">
        <v>252</v>
      </c>
      <c r="C24" s="105" t="s">
        <v>252</v>
      </c>
      <c r="D24" s="105" t="s">
        <v>308</v>
      </c>
      <c r="E24" s="106" t="s">
        <v>309</v>
      </c>
      <c r="F24" s="107" t="s">
        <v>255</v>
      </c>
      <c r="G24" s="108">
        <v>1</v>
      </c>
      <c r="H24" s="107"/>
      <c r="I24" s="109"/>
      <c r="J24" s="110"/>
      <c r="K24" s="111"/>
      <c r="L24" s="112"/>
      <c r="M24" s="110"/>
      <c r="N24" s="113"/>
      <c r="O24" s="113"/>
      <c r="P24" s="113"/>
      <c r="Q24" s="114" t="s">
        <v>256</v>
      </c>
      <c r="R24" s="115" t="s">
        <v>256</v>
      </c>
      <c r="S24" s="115" t="s">
        <v>256</v>
      </c>
      <c r="T24" s="115" t="s">
        <v>256</v>
      </c>
      <c r="U24" s="115" t="s">
        <v>256</v>
      </c>
      <c r="V24" s="116" t="s">
        <v>252</v>
      </c>
      <c r="W24" s="117" t="s">
        <v>252</v>
      </c>
      <c r="X24" s="118" t="s">
        <v>252</v>
      </c>
      <c r="Y24" s="119" t="s">
        <v>252</v>
      </c>
      <c r="Z24" s="120" t="s">
        <v>257</v>
      </c>
      <c r="AA24" s="121" t="s">
        <v>252</v>
      </c>
      <c r="AB24" s="121" t="s">
        <v>252</v>
      </c>
      <c r="AC24" s="121" t="s">
        <v>252</v>
      </c>
      <c r="AD24" s="122" t="s">
        <v>252</v>
      </c>
      <c r="AE24" s="123" t="s">
        <v>252</v>
      </c>
      <c r="AF24" s="123">
        <f t="shared" si="23"/>
        <v>1409391.5966386555</v>
      </c>
      <c r="AG24" s="123">
        <f t="shared" si="24"/>
        <v>267784.40336134454</v>
      </c>
      <c r="AH24" s="123">
        <v>1677176</v>
      </c>
      <c r="AI24" s="124" t="s">
        <v>252</v>
      </c>
      <c r="AJ24" s="125" t="s">
        <v>252</v>
      </c>
      <c r="AK24" s="126" t="s">
        <v>252</v>
      </c>
      <c r="AL24" s="127" t="s">
        <v>252</v>
      </c>
      <c r="AM24" s="128" t="s">
        <v>258</v>
      </c>
      <c r="AN24" s="129" t="s">
        <v>252</v>
      </c>
      <c r="AO24" s="129" t="s">
        <v>252</v>
      </c>
      <c r="AP24" s="130" t="s">
        <v>252</v>
      </c>
      <c r="AQ24" s="131">
        <v>1361860</v>
      </c>
      <c r="AR24" s="132">
        <v>258753</v>
      </c>
      <c r="AS24" s="132">
        <v>1620614</v>
      </c>
      <c r="AT24" s="132">
        <v>1361860</v>
      </c>
      <c r="AU24" s="132">
        <v>1620614</v>
      </c>
      <c r="AV24" s="133">
        <f t="shared" si="15"/>
        <v>1515003</v>
      </c>
      <c r="AW24" s="133">
        <f t="shared" si="16"/>
        <v>1515003</v>
      </c>
      <c r="AX24" s="133" t="str">
        <f t="shared" si="17"/>
        <v/>
      </c>
      <c r="AY24" s="134">
        <v>2.4299999999999999E-2</v>
      </c>
      <c r="AZ24" s="5"/>
      <c r="BA24" s="7"/>
      <c r="BB24" s="7"/>
    </row>
    <row r="25" spans="1:54" ht="297">
      <c r="A25" s="105" t="s">
        <v>252</v>
      </c>
      <c r="B25" s="105" t="s">
        <v>252</v>
      </c>
      <c r="C25" s="105" t="s">
        <v>252</v>
      </c>
      <c r="D25" s="105" t="s">
        <v>310</v>
      </c>
      <c r="E25" s="106" t="s">
        <v>311</v>
      </c>
      <c r="F25" s="107" t="s">
        <v>255</v>
      </c>
      <c r="G25" s="108">
        <v>1</v>
      </c>
      <c r="H25" s="107"/>
      <c r="I25" s="109"/>
      <c r="J25" s="110"/>
      <c r="K25" s="111"/>
      <c r="L25" s="112"/>
      <c r="M25" s="110"/>
      <c r="N25" s="113"/>
      <c r="O25" s="113"/>
      <c r="P25" s="113"/>
      <c r="Q25" s="114" t="s">
        <v>256</v>
      </c>
      <c r="R25" s="115" t="s">
        <v>256</v>
      </c>
      <c r="S25" s="115" t="s">
        <v>256</v>
      </c>
      <c r="T25" s="115" t="s">
        <v>256</v>
      </c>
      <c r="U25" s="115" t="s">
        <v>256</v>
      </c>
      <c r="V25" s="116" t="s">
        <v>252</v>
      </c>
      <c r="W25" s="117" t="s">
        <v>252</v>
      </c>
      <c r="X25" s="118" t="s">
        <v>252</v>
      </c>
      <c r="Y25" s="119" t="s">
        <v>252</v>
      </c>
      <c r="Z25" s="120" t="s">
        <v>257</v>
      </c>
      <c r="AA25" s="121" t="s">
        <v>252</v>
      </c>
      <c r="AB25" s="121" t="s">
        <v>252</v>
      </c>
      <c r="AC25" s="121" t="s">
        <v>252</v>
      </c>
      <c r="AD25" s="122" t="s">
        <v>252</v>
      </c>
      <c r="AE25" s="123" t="s">
        <v>252</v>
      </c>
      <c r="AF25" s="123">
        <f t="shared" si="23"/>
        <v>331316.80672268907</v>
      </c>
      <c r="AG25" s="123">
        <f t="shared" si="24"/>
        <v>62950.193277310922</v>
      </c>
      <c r="AH25" s="123">
        <v>394267</v>
      </c>
      <c r="AI25" s="124" t="s">
        <v>252</v>
      </c>
      <c r="AJ25" s="125" t="s">
        <v>252</v>
      </c>
      <c r="AK25" s="126" t="s">
        <v>252</v>
      </c>
      <c r="AL25" s="127" t="s">
        <v>252</v>
      </c>
      <c r="AM25" s="128" t="s">
        <v>258</v>
      </c>
      <c r="AN25" s="129" t="s">
        <v>252</v>
      </c>
      <c r="AO25" s="129" t="s">
        <v>252</v>
      </c>
      <c r="AP25" s="130" t="s">
        <v>252</v>
      </c>
      <c r="AQ25" s="131">
        <v>326420</v>
      </c>
      <c r="AR25" s="132">
        <v>62020</v>
      </c>
      <c r="AS25" s="132">
        <v>388440</v>
      </c>
      <c r="AT25" s="132">
        <v>326420</v>
      </c>
      <c r="AU25" s="132">
        <v>388440</v>
      </c>
      <c r="AV25" s="133">
        <f t="shared" si="15"/>
        <v>359878</v>
      </c>
      <c r="AW25" s="133">
        <f t="shared" si="16"/>
        <v>359878</v>
      </c>
      <c r="AX25" s="133" t="str">
        <f t="shared" si="17"/>
        <v/>
      </c>
      <c r="AY25" s="134">
        <v>1.0500000000000001E-2</v>
      </c>
      <c r="AZ25" s="5"/>
      <c r="BA25" s="7"/>
      <c r="BB25" s="7"/>
    </row>
    <row r="26" spans="1:54" ht="297">
      <c r="A26" s="105" t="s">
        <v>252</v>
      </c>
      <c r="B26" s="105" t="s">
        <v>252</v>
      </c>
      <c r="C26" s="105" t="s">
        <v>252</v>
      </c>
      <c r="D26" s="105" t="s">
        <v>312</v>
      </c>
      <c r="E26" s="106" t="s">
        <v>313</v>
      </c>
      <c r="F26" s="107" t="s">
        <v>255</v>
      </c>
      <c r="G26" s="108">
        <v>1</v>
      </c>
      <c r="H26" s="107"/>
      <c r="I26" s="109"/>
      <c r="J26" s="110"/>
      <c r="K26" s="111"/>
      <c r="L26" s="112"/>
      <c r="M26" s="110"/>
      <c r="N26" s="113"/>
      <c r="O26" s="113"/>
      <c r="P26" s="113"/>
      <c r="Q26" s="114" t="s">
        <v>256</v>
      </c>
      <c r="R26" s="115" t="s">
        <v>256</v>
      </c>
      <c r="S26" s="115" t="s">
        <v>256</v>
      </c>
      <c r="T26" s="115" t="s">
        <v>256</v>
      </c>
      <c r="U26" s="115" t="s">
        <v>256</v>
      </c>
      <c r="V26" s="116" t="s">
        <v>252</v>
      </c>
      <c r="W26" s="117" t="s">
        <v>252</v>
      </c>
      <c r="X26" s="118" t="s">
        <v>252</v>
      </c>
      <c r="Y26" s="119" t="s">
        <v>252</v>
      </c>
      <c r="Z26" s="120" t="s">
        <v>257</v>
      </c>
      <c r="AA26" s="121" t="s">
        <v>252</v>
      </c>
      <c r="AB26" s="121" t="s">
        <v>252</v>
      </c>
      <c r="AC26" s="121" t="s">
        <v>252</v>
      </c>
      <c r="AD26" s="122" t="s">
        <v>252</v>
      </c>
      <c r="AE26" s="123" t="s">
        <v>252</v>
      </c>
      <c r="AF26" s="123">
        <f t="shared" si="23"/>
        <v>385870.58823529416</v>
      </c>
      <c r="AG26" s="123">
        <f t="shared" si="24"/>
        <v>73315.411764705888</v>
      </c>
      <c r="AH26" s="123">
        <v>459186</v>
      </c>
      <c r="AI26" s="124" t="s">
        <v>252</v>
      </c>
      <c r="AJ26" s="125" t="s">
        <v>252</v>
      </c>
      <c r="AK26" s="126" t="s">
        <v>252</v>
      </c>
      <c r="AL26" s="127" t="s">
        <v>252</v>
      </c>
      <c r="AM26" s="128" t="s">
        <v>258</v>
      </c>
      <c r="AN26" s="129" t="s">
        <v>252</v>
      </c>
      <c r="AO26" s="129" t="s">
        <v>252</v>
      </c>
      <c r="AP26" s="130" t="s">
        <v>252</v>
      </c>
      <c r="AQ26" s="131">
        <v>380168</v>
      </c>
      <c r="AR26" s="132">
        <v>72232</v>
      </c>
      <c r="AS26" s="132">
        <v>452400</v>
      </c>
      <c r="AT26" s="132">
        <v>380168</v>
      </c>
      <c r="AU26" s="132">
        <v>452400</v>
      </c>
      <c r="AV26" s="133">
        <f t="shared" si="15"/>
        <v>419135</v>
      </c>
      <c r="AW26" s="133">
        <f t="shared" si="16"/>
        <v>419135</v>
      </c>
      <c r="AX26" s="133" t="str">
        <f t="shared" si="17"/>
        <v/>
      </c>
      <c r="AY26" s="134">
        <v>1.0500000000000001E-2</v>
      </c>
      <c r="AZ26" s="5"/>
      <c r="BA26" s="7"/>
      <c r="BB26" s="7"/>
    </row>
    <row r="27" spans="1:54" ht="54">
      <c r="A27" s="105" t="s">
        <v>181</v>
      </c>
      <c r="B27" s="105" t="s">
        <v>241</v>
      </c>
      <c r="C27" s="105">
        <v>49121503</v>
      </c>
      <c r="D27" s="105" t="s">
        <v>314</v>
      </c>
      <c r="E27" s="106" t="s">
        <v>315</v>
      </c>
      <c r="F27" s="107" t="s">
        <v>185</v>
      </c>
      <c r="G27" s="108">
        <v>1</v>
      </c>
      <c r="H27" s="107" t="s">
        <v>288</v>
      </c>
      <c r="I27" s="109" t="s">
        <v>234</v>
      </c>
      <c r="J27" s="110">
        <v>46153</v>
      </c>
      <c r="K27" s="111" t="s">
        <v>316</v>
      </c>
      <c r="L27" s="112" t="s">
        <v>194</v>
      </c>
      <c r="M27" s="110" t="s">
        <v>317</v>
      </c>
      <c r="N27" s="113">
        <v>450000</v>
      </c>
      <c r="O27" s="113" t="s">
        <v>198</v>
      </c>
      <c r="P27" s="113" t="s">
        <v>192</v>
      </c>
      <c r="Q27" s="114">
        <f>IF(O27="IVA Incluido",(N27/1.19),N27)</f>
        <v>450000</v>
      </c>
      <c r="R27" s="115">
        <f>IF(P27="Si tiene IVA",Q27*19%,0)</f>
        <v>85500</v>
      </c>
      <c r="S27" s="115">
        <f>Q27+R27</f>
        <v>535500</v>
      </c>
      <c r="T27" s="115">
        <f>IF(B27="","",(N27*G27))</f>
        <v>450000</v>
      </c>
      <c r="U27" s="115">
        <f>IF(B27="","",(S27*G27))</f>
        <v>535500</v>
      </c>
      <c r="V27" s="116" t="s">
        <v>187</v>
      </c>
      <c r="W27" s="117">
        <v>46153</v>
      </c>
      <c r="X27" s="118" t="s">
        <v>277</v>
      </c>
      <c r="Y27" s="119" t="s">
        <v>189</v>
      </c>
      <c r="Z27" s="120" t="s">
        <v>278</v>
      </c>
      <c r="AA27" s="121">
        <v>304500</v>
      </c>
      <c r="AB27" s="121" t="s">
        <v>198</v>
      </c>
      <c r="AC27" s="121" t="s">
        <v>192</v>
      </c>
      <c r="AD27" s="122">
        <f>IF(AB27="IVA Incluido",(AA27/1.19),AA27)</f>
        <v>304500</v>
      </c>
      <c r="AE27" s="123">
        <f>IF(AC27="Si tiene IVA",AD27*19%,0)</f>
        <v>57855</v>
      </c>
      <c r="AF27" s="123">
        <f>AD27+AE27</f>
        <v>362355</v>
      </c>
      <c r="AG27" s="123">
        <f>IF(O27="","",(AA27*G27))</f>
        <v>304500</v>
      </c>
      <c r="AH27" s="123">
        <f>IF(O27="","",(AF27*G27))</f>
        <v>362355</v>
      </c>
      <c r="AI27" s="124" t="s">
        <v>318</v>
      </c>
      <c r="AJ27" s="125">
        <v>46135</v>
      </c>
      <c r="AK27" s="126" t="s">
        <v>319</v>
      </c>
      <c r="AL27" s="127" t="s">
        <v>189</v>
      </c>
      <c r="AM27" s="128" t="s">
        <v>320</v>
      </c>
      <c r="AN27" s="129">
        <v>315126</v>
      </c>
      <c r="AO27" s="129" t="s">
        <v>198</v>
      </c>
      <c r="AP27" s="130" t="s">
        <v>192</v>
      </c>
      <c r="AQ27" s="131">
        <f>IF(AO27="IVA Incluido",(AN27/1.19),AN27)</f>
        <v>315126</v>
      </c>
      <c r="AR27" s="132">
        <f>IF(AP27="Si tiene IVA",AQ27*19%,0)</f>
        <v>59873.94</v>
      </c>
      <c r="AS27" s="132">
        <f>AQ27+AR27</f>
        <v>374999.94</v>
      </c>
      <c r="AT27" s="132">
        <f>IF(AB27="","",(AN27*G27))</f>
        <v>315126</v>
      </c>
      <c r="AU27" s="132">
        <f>IF(AB27="","",(AS27*G27))</f>
        <v>374999.94</v>
      </c>
      <c r="AV27" s="133">
        <f t="shared" si="15"/>
        <v>424285</v>
      </c>
      <c r="AW27" s="133">
        <f t="shared" si="16"/>
        <v>424285</v>
      </c>
      <c r="AX27" s="133">
        <f t="shared" si="17"/>
        <v>96522</v>
      </c>
      <c r="AY27" s="134">
        <f>IF(N27="","",(AX27/AW27))</f>
        <v>0.22749331227830349</v>
      </c>
      <c r="AZ27" s="5"/>
      <c r="BA27" s="7">
        <f>COUNTA(M27,Z27,AM27)</f>
        <v>3</v>
      </c>
      <c r="BB27" s="7"/>
    </row>
    <row r="28" spans="1:54" ht="297">
      <c r="A28" s="105" t="s">
        <v>252</v>
      </c>
      <c r="B28" s="105" t="s">
        <v>252</v>
      </c>
      <c r="C28" s="105" t="s">
        <v>252</v>
      </c>
      <c r="D28" s="105" t="s">
        <v>321</v>
      </c>
      <c r="E28" s="106" t="s">
        <v>322</v>
      </c>
      <c r="F28" s="107" t="s">
        <v>255</v>
      </c>
      <c r="G28" s="108">
        <v>1</v>
      </c>
      <c r="H28" s="107"/>
      <c r="I28" s="109"/>
      <c r="J28" s="110"/>
      <c r="K28" s="111"/>
      <c r="L28" s="112"/>
      <c r="M28" s="110"/>
      <c r="N28" s="113"/>
      <c r="O28" s="113"/>
      <c r="P28" s="113"/>
      <c r="Q28" s="114" t="s">
        <v>256</v>
      </c>
      <c r="R28" s="115" t="s">
        <v>256</v>
      </c>
      <c r="S28" s="115" t="s">
        <v>256</v>
      </c>
      <c r="T28" s="115" t="s">
        <v>256</v>
      </c>
      <c r="U28" s="115" t="s">
        <v>256</v>
      </c>
      <c r="V28" s="116" t="s">
        <v>252</v>
      </c>
      <c r="W28" s="117" t="s">
        <v>252</v>
      </c>
      <c r="X28" s="118" t="s">
        <v>252</v>
      </c>
      <c r="Y28" s="119" t="s">
        <v>252</v>
      </c>
      <c r="Z28" s="120" t="s">
        <v>257</v>
      </c>
      <c r="AA28" s="121" t="s">
        <v>252</v>
      </c>
      <c r="AB28" s="121" t="s">
        <v>252</v>
      </c>
      <c r="AC28" s="121" t="s">
        <v>252</v>
      </c>
      <c r="AD28" s="122" t="s">
        <v>252</v>
      </c>
      <c r="AE28" s="123" t="s">
        <v>252</v>
      </c>
      <c r="AF28" s="123">
        <f>AH28/1.19</f>
        <v>2494852.9411764708</v>
      </c>
      <c r="AG28" s="123">
        <f>AF28*19%</f>
        <v>474022.05882352946</v>
      </c>
      <c r="AH28" s="123">
        <v>2968875</v>
      </c>
      <c r="AI28" s="124" t="s">
        <v>252</v>
      </c>
      <c r="AJ28" s="125" t="s">
        <v>252</v>
      </c>
      <c r="AK28" s="126" t="s">
        <v>252</v>
      </c>
      <c r="AL28" s="127" t="s">
        <v>252</v>
      </c>
      <c r="AM28" s="128" t="s">
        <v>258</v>
      </c>
      <c r="AN28" s="129" t="s">
        <v>252</v>
      </c>
      <c r="AO28" s="129" t="s">
        <v>252</v>
      </c>
      <c r="AP28" s="130" t="s">
        <v>252</v>
      </c>
      <c r="AQ28" s="131">
        <v>2457983</v>
      </c>
      <c r="AR28" s="132">
        <v>467017</v>
      </c>
      <c r="AS28" s="132">
        <v>2925000</v>
      </c>
      <c r="AT28" s="132">
        <v>2457983</v>
      </c>
      <c r="AU28" s="132">
        <v>2925000</v>
      </c>
      <c r="AV28" s="133">
        <f t="shared" si="15"/>
        <v>2709926</v>
      </c>
      <c r="AW28" s="133">
        <f t="shared" si="16"/>
        <v>2709926</v>
      </c>
      <c r="AX28" s="133" t="str">
        <f t="shared" si="17"/>
        <v/>
      </c>
      <c r="AY28" s="134">
        <v>1.0500000000000001E-2</v>
      </c>
      <c r="AZ28" s="5"/>
      <c r="BA28" s="7"/>
      <c r="BB28" s="7"/>
    </row>
    <row r="29" spans="1:54" ht="297">
      <c r="A29" s="105" t="s">
        <v>252</v>
      </c>
      <c r="B29" s="105" t="s">
        <v>252</v>
      </c>
      <c r="C29" s="105" t="s">
        <v>252</v>
      </c>
      <c r="D29" s="105" t="s">
        <v>323</v>
      </c>
      <c r="E29" s="106" t="s">
        <v>324</v>
      </c>
      <c r="F29" s="107" t="s">
        <v>255</v>
      </c>
      <c r="G29" s="108">
        <v>1</v>
      </c>
      <c r="H29" s="107"/>
      <c r="I29" s="109"/>
      <c r="J29" s="110"/>
      <c r="K29" s="111"/>
      <c r="L29" s="112"/>
      <c r="M29" s="110"/>
      <c r="N29" s="113"/>
      <c r="O29" s="113"/>
      <c r="P29" s="113"/>
      <c r="Q29" s="114" t="s">
        <v>256</v>
      </c>
      <c r="R29" s="115" t="s">
        <v>256</v>
      </c>
      <c r="S29" s="115" t="s">
        <v>256</v>
      </c>
      <c r="T29" s="115" t="s">
        <v>256</v>
      </c>
      <c r="U29" s="115" t="s">
        <v>256</v>
      </c>
      <c r="V29" s="116" t="s">
        <v>252</v>
      </c>
      <c r="W29" s="117" t="s">
        <v>252</v>
      </c>
      <c r="X29" s="118" t="s">
        <v>252</v>
      </c>
      <c r="Y29" s="119" t="s">
        <v>252</v>
      </c>
      <c r="Z29" s="120" t="s">
        <v>257</v>
      </c>
      <c r="AA29" s="121" t="s">
        <v>252</v>
      </c>
      <c r="AB29" s="121" t="s">
        <v>252</v>
      </c>
      <c r="AC29" s="121" t="s">
        <v>252</v>
      </c>
      <c r="AD29" s="122" t="s">
        <v>252</v>
      </c>
      <c r="AE29" s="123" t="s">
        <v>252</v>
      </c>
      <c r="AF29" s="123">
        <f>AH29/1.19</f>
        <v>450182.3529411765</v>
      </c>
      <c r="AG29" s="123">
        <f>AF29*19%</f>
        <v>85534.647058823539</v>
      </c>
      <c r="AH29" s="123">
        <v>535717</v>
      </c>
      <c r="AI29" s="124" t="s">
        <v>252</v>
      </c>
      <c r="AJ29" s="125" t="s">
        <v>252</v>
      </c>
      <c r="AK29" s="126" t="s">
        <v>252</v>
      </c>
      <c r="AL29" s="127" t="s">
        <v>252</v>
      </c>
      <c r="AM29" s="128" t="s">
        <v>258</v>
      </c>
      <c r="AN29" s="129" t="s">
        <v>252</v>
      </c>
      <c r="AO29" s="129" t="s">
        <v>252</v>
      </c>
      <c r="AP29" s="130" t="s">
        <v>252</v>
      </c>
      <c r="AQ29" s="131">
        <v>443529</v>
      </c>
      <c r="AR29" s="132">
        <v>84271</v>
      </c>
      <c r="AS29" s="132">
        <v>527800</v>
      </c>
      <c r="AT29" s="132">
        <v>443529</v>
      </c>
      <c r="AU29" s="132">
        <v>527800</v>
      </c>
      <c r="AV29" s="133">
        <f t="shared" si="15"/>
        <v>488991</v>
      </c>
      <c r="AW29" s="133">
        <f t="shared" si="16"/>
        <v>488991</v>
      </c>
      <c r="AX29" s="133" t="str">
        <f t="shared" si="17"/>
        <v/>
      </c>
      <c r="AY29" s="134">
        <v>1.0500000000000001E-2</v>
      </c>
      <c r="AZ29" s="5"/>
      <c r="BA29" s="7"/>
      <c r="BB29" s="7"/>
    </row>
    <row r="30" spans="1:54" ht="54">
      <c r="A30" s="105" t="s">
        <v>252</v>
      </c>
      <c r="B30" s="105" t="s">
        <v>252</v>
      </c>
      <c r="C30" s="105" t="s">
        <v>252</v>
      </c>
      <c r="D30" s="105" t="s">
        <v>325</v>
      </c>
      <c r="E30" s="106" t="s">
        <v>326</v>
      </c>
      <c r="F30" s="107" t="s">
        <v>255</v>
      </c>
      <c r="G30" s="108">
        <v>1</v>
      </c>
      <c r="H30" s="107"/>
      <c r="I30" s="109" t="s">
        <v>252</v>
      </c>
      <c r="J30" s="110" t="s">
        <v>252</v>
      </c>
      <c r="K30" s="111" t="s">
        <v>252</v>
      </c>
      <c r="L30" s="112" t="s">
        <v>252</v>
      </c>
      <c r="M30" s="135" t="s">
        <v>327</v>
      </c>
      <c r="N30" s="113"/>
      <c r="O30" s="113"/>
      <c r="P30" s="113"/>
      <c r="Q30" s="114">
        <f>5280/1.19</f>
        <v>4436.9747899159665</v>
      </c>
      <c r="R30" s="115">
        <f>Q30*19%</f>
        <v>843.02521008403369</v>
      </c>
      <c r="S30" s="115">
        <v>5280</v>
      </c>
      <c r="T30" s="115">
        <v>4437</v>
      </c>
      <c r="U30" s="115">
        <v>5280</v>
      </c>
      <c r="V30" s="116" t="s">
        <v>252</v>
      </c>
      <c r="W30" s="117" t="s">
        <v>252</v>
      </c>
      <c r="X30" s="118" t="s">
        <v>252</v>
      </c>
      <c r="Y30" s="119" t="s">
        <v>252</v>
      </c>
      <c r="Z30" s="120" t="s">
        <v>258</v>
      </c>
      <c r="AA30" s="121" t="s">
        <v>252</v>
      </c>
      <c r="AB30" s="121" t="s">
        <v>252</v>
      </c>
      <c r="AC30" s="121" t="s">
        <v>252</v>
      </c>
      <c r="AD30" s="122">
        <v>4198.8900000000003</v>
      </c>
      <c r="AE30" s="123">
        <f>AD30*19%</f>
        <v>797.78910000000008</v>
      </c>
      <c r="AF30" s="123">
        <f>AD30+AE30</f>
        <v>4996.6791000000003</v>
      </c>
      <c r="AG30" s="123">
        <f>AD30</f>
        <v>4198.8900000000003</v>
      </c>
      <c r="AH30" s="123">
        <f>AF30</f>
        <v>4996.6791000000003</v>
      </c>
      <c r="AI30" s="124" t="s">
        <v>252</v>
      </c>
      <c r="AJ30" s="125" t="s">
        <v>252</v>
      </c>
      <c r="AK30" s="126" t="s">
        <v>252</v>
      </c>
      <c r="AL30" s="127" t="s">
        <v>252</v>
      </c>
      <c r="AM30" s="128" t="s">
        <v>320</v>
      </c>
      <c r="AN30" s="129" t="s">
        <v>252</v>
      </c>
      <c r="AO30" s="129" t="s">
        <v>252</v>
      </c>
      <c r="AP30" s="130" t="s">
        <v>252</v>
      </c>
      <c r="AQ30" s="131">
        <v>4033.61</v>
      </c>
      <c r="AR30" s="132">
        <v>766.39</v>
      </c>
      <c r="AS30" s="132">
        <v>4800</v>
      </c>
      <c r="AT30" s="132">
        <v>4034</v>
      </c>
      <c r="AU30" s="132">
        <v>4800</v>
      </c>
      <c r="AV30" s="133">
        <f t="shared" si="15"/>
        <v>5026</v>
      </c>
      <c r="AW30" s="133">
        <f t="shared" si="16"/>
        <v>5026</v>
      </c>
      <c r="AX30" s="133" t="str">
        <f t="shared" si="17"/>
        <v/>
      </c>
      <c r="AY30" s="134" t="e">
        <f>IF(C30="","",(AX30/AW30))</f>
        <v>#VALUE!</v>
      </c>
      <c r="AZ30" s="5"/>
      <c r="BA30" s="7"/>
      <c r="BB30" s="7"/>
    </row>
    <row r="31" spans="1:54" ht="297">
      <c r="A31" s="105" t="s">
        <v>252</v>
      </c>
      <c r="B31" s="105" t="s">
        <v>252</v>
      </c>
      <c r="C31" s="105" t="s">
        <v>252</v>
      </c>
      <c r="D31" s="105" t="s">
        <v>328</v>
      </c>
      <c r="E31" s="106" t="s">
        <v>329</v>
      </c>
      <c r="F31" s="107" t="s">
        <v>255</v>
      </c>
      <c r="G31" s="108">
        <v>1</v>
      </c>
      <c r="H31" s="107"/>
      <c r="I31" s="109"/>
      <c r="J31" s="110"/>
      <c r="K31" s="111"/>
      <c r="L31" s="112"/>
      <c r="M31" s="110"/>
      <c r="N31" s="113"/>
      <c r="O31" s="113"/>
      <c r="P31" s="113"/>
      <c r="Q31" s="114" t="s">
        <v>256</v>
      </c>
      <c r="R31" s="115" t="s">
        <v>256</v>
      </c>
      <c r="S31" s="115" t="s">
        <v>256</v>
      </c>
      <c r="T31" s="115" t="s">
        <v>256</v>
      </c>
      <c r="U31" s="115" t="s">
        <v>256</v>
      </c>
      <c r="V31" s="116" t="s">
        <v>252</v>
      </c>
      <c r="W31" s="117" t="s">
        <v>252</v>
      </c>
      <c r="X31" s="118" t="s">
        <v>252</v>
      </c>
      <c r="Y31" s="119" t="s">
        <v>252</v>
      </c>
      <c r="Z31" s="120" t="s">
        <v>257</v>
      </c>
      <c r="AA31" s="121" t="s">
        <v>252</v>
      </c>
      <c r="AB31" s="121" t="s">
        <v>252</v>
      </c>
      <c r="AC31" s="121" t="s">
        <v>252</v>
      </c>
      <c r="AD31" s="122" t="s">
        <v>252</v>
      </c>
      <c r="AE31" s="123" t="s">
        <v>252</v>
      </c>
      <c r="AF31" s="123">
        <f t="shared" ref="AF31:AF45" si="25">AH31/1.19</f>
        <v>22338.655462184874</v>
      </c>
      <c r="AG31" s="123">
        <f t="shared" ref="AG31:AG45" si="26">AF31*19%</f>
        <v>4244.3445378151264</v>
      </c>
      <c r="AH31" s="123">
        <v>26583</v>
      </c>
      <c r="AI31" s="124" t="s">
        <v>252</v>
      </c>
      <c r="AJ31" s="125" t="s">
        <v>252</v>
      </c>
      <c r="AK31" s="126" t="s">
        <v>252</v>
      </c>
      <c r="AL31" s="127" t="s">
        <v>252</v>
      </c>
      <c r="AM31" s="128" t="s">
        <v>258</v>
      </c>
      <c r="AN31" s="129" t="s">
        <v>252</v>
      </c>
      <c r="AO31" s="129" t="s">
        <v>252</v>
      </c>
      <c r="AP31" s="130" t="s">
        <v>252</v>
      </c>
      <c r="AQ31" s="131">
        <v>22009</v>
      </c>
      <c r="AR31" s="132">
        <v>4182</v>
      </c>
      <c r="AS31" s="132">
        <v>26191</v>
      </c>
      <c r="AT31" s="132">
        <v>22009</v>
      </c>
      <c r="AU31" s="132">
        <v>26191</v>
      </c>
      <c r="AV31" s="133">
        <f t="shared" si="15"/>
        <v>24265</v>
      </c>
      <c r="AW31" s="133">
        <f t="shared" si="16"/>
        <v>24265</v>
      </c>
      <c r="AX31" s="133" t="str">
        <f t="shared" si="17"/>
        <v/>
      </c>
      <c r="AY31" s="134">
        <v>1.0500000000000001E-2</v>
      </c>
      <c r="AZ31" s="5"/>
      <c r="BA31" s="7"/>
      <c r="BB31" s="7"/>
    </row>
    <row r="32" spans="1:54" ht="297">
      <c r="A32" s="105" t="s">
        <v>252</v>
      </c>
      <c r="B32" s="105" t="s">
        <v>252</v>
      </c>
      <c r="C32" s="105" t="s">
        <v>252</v>
      </c>
      <c r="D32" s="105" t="s">
        <v>330</v>
      </c>
      <c r="E32" s="106" t="s">
        <v>331</v>
      </c>
      <c r="F32" s="107" t="s">
        <v>255</v>
      </c>
      <c r="G32" s="108">
        <v>1</v>
      </c>
      <c r="H32" s="107"/>
      <c r="I32" s="109"/>
      <c r="J32" s="110"/>
      <c r="K32" s="111"/>
      <c r="L32" s="112"/>
      <c r="M32" s="110"/>
      <c r="N32" s="113"/>
      <c r="O32" s="113"/>
      <c r="P32" s="113"/>
      <c r="Q32" s="114" t="s">
        <v>256</v>
      </c>
      <c r="R32" s="115" t="s">
        <v>256</v>
      </c>
      <c r="S32" s="115" t="s">
        <v>256</v>
      </c>
      <c r="T32" s="115" t="s">
        <v>256</v>
      </c>
      <c r="U32" s="115" t="s">
        <v>256</v>
      </c>
      <c r="V32" s="116" t="s">
        <v>252</v>
      </c>
      <c r="W32" s="117" t="s">
        <v>252</v>
      </c>
      <c r="X32" s="118" t="s">
        <v>252</v>
      </c>
      <c r="Y32" s="119" t="s">
        <v>252</v>
      </c>
      <c r="Z32" s="120" t="s">
        <v>257</v>
      </c>
      <c r="AA32" s="121" t="s">
        <v>252</v>
      </c>
      <c r="AB32" s="121" t="s">
        <v>252</v>
      </c>
      <c r="AC32" s="121" t="s">
        <v>252</v>
      </c>
      <c r="AD32" s="122" t="s">
        <v>252</v>
      </c>
      <c r="AE32" s="123" t="s">
        <v>252</v>
      </c>
      <c r="AF32" s="123">
        <f t="shared" si="25"/>
        <v>2252537.8151260507</v>
      </c>
      <c r="AG32" s="123">
        <f t="shared" si="26"/>
        <v>427982.18487394962</v>
      </c>
      <c r="AH32" s="123">
        <v>2680520</v>
      </c>
      <c r="AI32" s="124" t="s">
        <v>252</v>
      </c>
      <c r="AJ32" s="125" t="s">
        <v>252</v>
      </c>
      <c r="AK32" s="126" t="s">
        <v>252</v>
      </c>
      <c r="AL32" s="127" t="s">
        <v>252</v>
      </c>
      <c r="AM32" s="128" t="s">
        <v>258</v>
      </c>
      <c r="AN32" s="129" t="s">
        <v>252</v>
      </c>
      <c r="AO32" s="129" t="s">
        <v>252</v>
      </c>
      <c r="AP32" s="130" t="s">
        <v>252</v>
      </c>
      <c r="AQ32" s="131">
        <v>2240588</v>
      </c>
      <c r="AR32" s="132">
        <v>425712</v>
      </c>
      <c r="AS32" s="132">
        <v>2666300</v>
      </c>
      <c r="AT32" s="132">
        <v>2240588</v>
      </c>
      <c r="AU32" s="132">
        <v>2666300</v>
      </c>
      <c r="AV32" s="133">
        <f t="shared" si="15"/>
        <v>2459419</v>
      </c>
      <c r="AW32" s="133">
        <f t="shared" si="16"/>
        <v>2459419</v>
      </c>
      <c r="AX32" s="133" t="str">
        <f t="shared" si="17"/>
        <v/>
      </c>
      <c r="AY32" s="134">
        <v>3.8E-3</v>
      </c>
      <c r="AZ32" s="5"/>
      <c r="BA32" s="7"/>
      <c r="BB32" s="7"/>
    </row>
    <row r="33" spans="1:54" ht="297">
      <c r="A33" s="105" t="s">
        <v>252</v>
      </c>
      <c r="B33" s="105" t="s">
        <v>252</v>
      </c>
      <c r="C33" s="105" t="s">
        <v>252</v>
      </c>
      <c r="D33" s="105" t="s">
        <v>332</v>
      </c>
      <c r="E33" s="106" t="s">
        <v>333</v>
      </c>
      <c r="F33" s="107" t="s">
        <v>255</v>
      </c>
      <c r="G33" s="108">
        <v>1</v>
      </c>
      <c r="H33" s="107"/>
      <c r="I33" s="109"/>
      <c r="J33" s="110"/>
      <c r="K33" s="111"/>
      <c r="L33" s="112"/>
      <c r="M33" s="110"/>
      <c r="N33" s="113"/>
      <c r="O33" s="113"/>
      <c r="P33" s="113"/>
      <c r="Q33" s="114" t="s">
        <v>256</v>
      </c>
      <c r="R33" s="115" t="s">
        <v>256</v>
      </c>
      <c r="S33" s="115" t="s">
        <v>256</v>
      </c>
      <c r="T33" s="115" t="s">
        <v>256</v>
      </c>
      <c r="U33" s="115" t="s">
        <v>256</v>
      </c>
      <c r="V33" s="116" t="s">
        <v>252</v>
      </c>
      <c r="W33" s="117" t="s">
        <v>252</v>
      </c>
      <c r="X33" s="118" t="s">
        <v>252</v>
      </c>
      <c r="Y33" s="119" t="s">
        <v>252</v>
      </c>
      <c r="Z33" s="120" t="s">
        <v>257</v>
      </c>
      <c r="AA33" s="121" t="s">
        <v>252</v>
      </c>
      <c r="AB33" s="121" t="s">
        <v>252</v>
      </c>
      <c r="AC33" s="121" t="s">
        <v>252</v>
      </c>
      <c r="AD33" s="122" t="s">
        <v>252</v>
      </c>
      <c r="AE33" s="123" t="s">
        <v>252</v>
      </c>
      <c r="AF33" s="123">
        <f t="shared" si="25"/>
        <v>111281.51260504202</v>
      </c>
      <c r="AG33" s="123">
        <f t="shared" si="26"/>
        <v>21143.487394957985</v>
      </c>
      <c r="AH33" s="123">
        <v>132425</v>
      </c>
      <c r="AI33" s="124" t="s">
        <v>252</v>
      </c>
      <c r="AJ33" s="125" t="s">
        <v>252</v>
      </c>
      <c r="AK33" s="126" t="s">
        <v>252</v>
      </c>
      <c r="AL33" s="127" t="s">
        <v>252</v>
      </c>
      <c r="AM33" s="128" t="s">
        <v>258</v>
      </c>
      <c r="AN33" s="129" t="s">
        <v>252</v>
      </c>
      <c r="AO33" s="129" t="s">
        <v>252</v>
      </c>
      <c r="AP33" s="130" t="s">
        <v>252</v>
      </c>
      <c r="AQ33" s="131">
        <v>107529</v>
      </c>
      <c r="AR33" s="132">
        <v>20430</v>
      </c>
      <c r="AS33" s="132">
        <v>127959</v>
      </c>
      <c r="AT33" s="132">
        <v>107529</v>
      </c>
      <c r="AU33" s="132">
        <v>127959</v>
      </c>
      <c r="AV33" s="133">
        <f t="shared" si="15"/>
        <v>119620</v>
      </c>
      <c r="AW33" s="133">
        <f t="shared" si="16"/>
        <v>119620</v>
      </c>
      <c r="AX33" s="133" t="str">
        <f t="shared" si="17"/>
        <v/>
      </c>
      <c r="AY33" s="134">
        <v>2.4299999999999999E-2</v>
      </c>
      <c r="AZ33" s="5"/>
      <c r="BA33" s="7"/>
      <c r="BB33" s="7"/>
    </row>
    <row r="34" spans="1:54" ht="297">
      <c r="A34" s="105" t="s">
        <v>252</v>
      </c>
      <c r="B34" s="105" t="s">
        <v>252</v>
      </c>
      <c r="C34" s="105" t="s">
        <v>252</v>
      </c>
      <c r="D34" s="105" t="s">
        <v>334</v>
      </c>
      <c r="E34" s="106" t="s">
        <v>335</v>
      </c>
      <c r="F34" s="107" t="s">
        <v>255</v>
      </c>
      <c r="G34" s="108">
        <v>1</v>
      </c>
      <c r="H34" s="107"/>
      <c r="I34" s="109"/>
      <c r="J34" s="110"/>
      <c r="K34" s="111"/>
      <c r="L34" s="112"/>
      <c r="M34" s="110"/>
      <c r="N34" s="113"/>
      <c r="O34" s="113"/>
      <c r="P34" s="113"/>
      <c r="Q34" s="114" t="s">
        <v>256</v>
      </c>
      <c r="R34" s="115" t="s">
        <v>256</v>
      </c>
      <c r="S34" s="115" t="s">
        <v>256</v>
      </c>
      <c r="T34" s="115" t="s">
        <v>256</v>
      </c>
      <c r="U34" s="115" t="s">
        <v>256</v>
      </c>
      <c r="V34" s="116" t="s">
        <v>252</v>
      </c>
      <c r="W34" s="117" t="s">
        <v>252</v>
      </c>
      <c r="X34" s="118" t="s">
        <v>252</v>
      </c>
      <c r="Y34" s="119" t="s">
        <v>252</v>
      </c>
      <c r="Z34" s="120" t="s">
        <v>257</v>
      </c>
      <c r="AA34" s="121" t="s">
        <v>252</v>
      </c>
      <c r="AB34" s="121" t="s">
        <v>252</v>
      </c>
      <c r="AC34" s="121" t="s">
        <v>252</v>
      </c>
      <c r="AD34" s="122" t="s">
        <v>252</v>
      </c>
      <c r="AE34" s="123" t="s">
        <v>252</v>
      </c>
      <c r="AF34" s="123">
        <f t="shared" si="25"/>
        <v>255826.89075630254</v>
      </c>
      <c r="AG34" s="123">
        <f t="shared" si="26"/>
        <v>48607.109243697487</v>
      </c>
      <c r="AH34" s="123">
        <v>304434</v>
      </c>
      <c r="AI34" s="124" t="s">
        <v>252</v>
      </c>
      <c r="AJ34" s="125" t="s">
        <v>252</v>
      </c>
      <c r="AK34" s="126" t="s">
        <v>252</v>
      </c>
      <c r="AL34" s="127" t="s">
        <v>252</v>
      </c>
      <c r="AM34" s="128" t="s">
        <v>258</v>
      </c>
      <c r="AN34" s="129" t="s">
        <v>252</v>
      </c>
      <c r="AO34" s="129" t="s">
        <v>252</v>
      </c>
      <c r="AP34" s="130" t="s">
        <v>252</v>
      </c>
      <c r="AQ34" s="131">
        <v>247199</v>
      </c>
      <c r="AR34" s="132">
        <v>46968</v>
      </c>
      <c r="AS34" s="132">
        <v>294167</v>
      </c>
      <c r="AT34" s="132">
        <v>247199</v>
      </c>
      <c r="AU34" s="132">
        <v>294167</v>
      </c>
      <c r="AV34" s="133">
        <f t="shared" si="15"/>
        <v>274997</v>
      </c>
      <c r="AW34" s="133">
        <f t="shared" si="16"/>
        <v>274997</v>
      </c>
      <c r="AX34" s="133" t="str">
        <f t="shared" si="17"/>
        <v/>
      </c>
      <c r="AY34" s="134">
        <v>2.4299999999999999E-2</v>
      </c>
      <c r="AZ34" s="5"/>
      <c r="BA34" s="7"/>
      <c r="BB34" s="7"/>
    </row>
    <row r="35" spans="1:54" ht="297">
      <c r="A35" s="105" t="s">
        <v>252</v>
      </c>
      <c r="B35" s="105" t="s">
        <v>252</v>
      </c>
      <c r="C35" s="105" t="s">
        <v>252</v>
      </c>
      <c r="D35" s="105" t="s">
        <v>336</v>
      </c>
      <c r="E35" s="106" t="s">
        <v>337</v>
      </c>
      <c r="F35" s="107" t="s">
        <v>255</v>
      </c>
      <c r="G35" s="108">
        <v>1</v>
      </c>
      <c r="H35" s="107"/>
      <c r="I35" s="109"/>
      <c r="J35" s="110"/>
      <c r="K35" s="111"/>
      <c r="L35" s="112"/>
      <c r="M35" s="110"/>
      <c r="N35" s="113"/>
      <c r="O35" s="113"/>
      <c r="P35" s="113"/>
      <c r="Q35" s="114" t="s">
        <v>256</v>
      </c>
      <c r="R35" s="115" t="s">
        <v>256</v>
      </c>
      <c r="S35" s="115" t="s">
        <v>256</v>
      </c>
      <c r="T35" s="115" t="s">
        <v>256</v>
      </c>
      <c r="U35" s="115" t="s">
        <v>256</v>
      </c>
      <c r="V35" s="116" t="s">
        <v>252</v>
      </c>
      <c r="W35" s="117" t="s">
        <v>252</v>
      </c>
      <c r="X35" s="118" t="s">
        <v>252</v>
      </c>
      <c r="Y35" s="119" t="s">
        <v>252</v>
      </c>
      <c r="Z35" s="120" t="s">
        <v>257</v>
      </c>
      <c r="AA35" s="121" t="s">
        <v>252</v>
      </c>
      <c r="AB35" s="121" t="s">
        <v>252</v>
      </c>
      <c r="AC35" s="121" t="s">
        <v>252</v>
      </c>
      <c r="AD35" s="122" t="s">
        <v>252</v>
      </c>
      <c r="AE35" s="123" t="s">
        <v>252</v>
      </c>
      <c r="AF35" s="123">
        <f t="shared" si="25"/>
        <v>305235.29411764705</v>
      </c>
      <c r="AG35" s="123">
        <f t="shared" si="26"/>
        <v>57994.705882352937</v>
      </c>
      <c r="AH35" s="123">
        <v>363230</v>
      </c>
      <c r="AI35" s="124" t="s">
        <v>252</v>
      </c>
      <c r="AJ35" s="125" t="s">
        <v>252</v>
      </c>
      <c r="AK35" s="126" t="s">
        <v>252</v>
      </c>
      <c r="AL35" s="127" t="s">
        <v>252</v>
      </c>
      <c r="AM35" s="128" t="s">
        <v>258</v>
      </c>
      <c r="AN35" s="129" t="s">
        <v>252</v>
      </c>
      <c r="AO35" s="129" t="s">
        <v>252</v>
      </c>
      <c r="AP35" s="130" t="s">
        <v>252</v>
      </c>
      <c r="AQ35" s="131">
        <v>294942</v>
      </c>
      <c r="AR35" s="132">
        <v>56039</v>
      </c>
      <c r="AS35" s="132">
        <v>350980</v>
      </c>
      <c r="AT35" s="132">
        <v>294942</v>
      </c>
      <c r="AU35" s="132">
        <v>350980</v>
      </c>
      <c r="AV35" s="133">
        <f t="shared" si="15"/>
        <v>328108</v>
      </c>
      <c r="AW35" s="133">
        <f t="shared" si="16"/>
        <v>328108</v>
      </c>
      <c r="AX35" s="133" t="str">
        <f t="shared" si="17"/>
        <v/>
      </c>
      <c r="AY35" s="134">
        <v>2.4299999999999999E-2</v>
      </c>
      <c r="AZ35" s="5"/>
      <c r="BA35" s="7"/>
      <c r="BB35" s="7"/>
    </row>
    <row r="36" spans="1:54" ht="297">
      <c r="A36" s="105" t="s">
        <v>252</v>
      </c>
      <c r="B36" s="105" t="s">
        <v>252</v>
      </c>
      <c r="C36" s="105" t="s">
        <v>252</v>
      </c>
      <c r="D36" s="105" t="s">
        <v>338</v>
      </c>
      <c r="E36" s="106" t="s">
        <v>339</v>
      </c>
      <c r="F36" s="107" t="s">
        <v>255</v>
      </c>
      <c r="G36" s="108">
        <v>1</v>
      </c>
      <c r="H36" s="107"/>
      <c r="I36" s="109"/>
      <c r="J36" s="110"/>
      <c r="K36" s="111"/>
      <c r="L36" s="112"/>
      <c r="M36" s="110"/>
      <c r="N36" s="113"/>
      <c r="O36" s="113"/>
      <c r="P36" s="113"/>
      <c r="Q36" s="114" t="s">
        <v>256</v>
      </c>
      <c r="R36" s="115" t="s">
        <v>256</v>
      </c>
      <c r="S36" s="115" t="s">
        <v>256</v>
      </c>
      <c r="T36" s="115" t="s">
        <v>256</v>
      </c>
      <c r="U36" s="115" t="s">
        <v>256</v>
      </c>
      <c r="V36" s="116" t="s">
        <v>252</v>
      </c>
      <c r="W36" s="117" t="s">
        <v>252</v>
      </c>
      <c r="X36" s="118" t="s">
        <v>252</v>
      </c>
      <c r="Y36" s="119" t="s">
        <v>252</v>
      </c>
      <c r="Z36" s="120" t="s">
        <v>257</v>
      </c>
      <c r="AA36" s="121" t="s">
        <v>252</v>
      </c>
      <c r="AB36" s="121" t="s">
        <v>252</v>
      </c>
      <c r="AC36" s="121" t="s">
        <v>252</v>
      </c>
      <c r="AD36" s="122" t="s">
        <v>252</v>
      </c>
      <c r="AE36" s="123" t="s">
        <v>252</v>
      </c>
      <c r="AF36" s="123">
        <f t="shared" si="25"/>
        <v>121837.81512605042</v>
      </c>
      <c r="AG36" s="123">
        <f t="shared" si="26"/>
        <v>23149.18487394958</v>
      </c>
      <c r="AH36" s="123">
        <v>144987</v>
      </c>
      <c r="AI36" s="124" t="s">
        <v>252</v>
      </c>
      <c r="AJ36" s="125" t="s">
        <v>252</v>
      </c>
      <c r="AK36" s="126" t="s">
        <v>252</v>
      </c>
      <c r="AL36" s="127" t="s">
        <v>252</v>
      </c>
      <c r="AM36" s="128" t="s">
        <v>258</v>
      </c>
      <c r="AN36" s="129" t="s">
        <v>252</v>
      </c>
      <c r="AO36" s="129" t="s">
        <v>252</v>
      </c>
      <c r="AP36" s="130" t="s">
        <v>252</v>
      </c>
      <c r="AQ36" s="131">
        <v>117729</v>
      </c>
      <c r="AR36" s="132">
        <v>22368</v>
      </c>
      <c r="AS36" s="132">
        <v>140097</v>
      </c>
      <c r="AT36" s="132">
        <v>117729</v>
      </c>
      <c r="AU36" s="132">
        <v>140097</v>
      </c>
      <c r="AV36" s="133">
        <f t="shared" si="15"/>
        <v>130967</v>
      </c>
      <c r="AW36" s="133">
        <f t="shared" si="16"/>
        <v>130967</v>
      </c>
      <c r="AX36" s="133" t="str">
        <f t="shared" si="17"/>
        <v/>
      </c>
      <c r="AY36" s="134">
        <v>2.4299999999999999E-2</v>
      </c>
      <c r="AZ36" s="5"/>
      <c r="BA36" s="7"/>
      <c r="BB36" s="7"/>
    </row>
    <row r="37" spans="1:54" ht="297">
      <c r="A37" s="105" t="s">
        <v>252</v>
      </c>
      <c r="B37" s="105" t="s">
        <v>252</v>
      </c>
      <c r="C37" s="105" t="s">
        <v>252</v>
      </c>
      <c r="D37" s="105" t="s">
        <v>338</v>
      </c>
      <c r="E37" s="106" t="s">
        <v>340</v>
      </c>
      <c r="F37" s="107" t="s">
        <v>255</v>
      </c>
      <c r="G37" s="108">
        <v>1</v>
      </c>
      <c r="H37" s="107"/>
      <c r="I37" s="109"/>
      <c r="J37" s="110"/>
      <c r="K37" s="111"/>
      <c r="L37" s="112"/>
      <c r="M37" s="110"/>
      <c r="N37" s="113"/>
      <c r="O37" s="113"/>
      <c r="P37" s="113"/>
      <c r="Q37" s="114" t="s">
        <v>256</v>
      </c>
      <c r="R37" s="115" t="s">
        <v>256</v>
      </c>
      <c r="S37" s="115" t="s">
        <v>256</v>
      </c>
      <c r="T37" s="115" t="s">
        <v>256</v>
      </c>
      <c r="U37" s="115" t="s">
        <v>256</v>
      </c>
      <c r="V37" s="116" t="s">
        <v>252</v>
      </c>
      <c r="W37" s="117" t="s">
        <v>252</v>
      </c>
      <c r="X37" s="118" t="s">
        <v>252</v>
      </c>
      <c r="Y37" s="119" t="s">
        <v>252</v>
      </c>
      <c r="Z37" s="120" t="s">
        <v>257</v>
      </c>
      <c r="AA37" s="121" t="s">
        <v>252</v>
      </c>
      <c r="AB37" s="121" t="s">
        <v>252</v>
      </c>
      <c r="AC37" s="121" t="s">
        <v>252</v>
      </c>
      <c r="AD37" s="122" t="s">
        <v>252</v>
      </c>
      <c r="AE37" s="123" t="s">
        <v>252</v>
      </c>
      <c r="AF37" s="123">
        <f t="shared" si="25"/>
        <v>258664.70588235295</v>
      </c>
      <c r="AG37" s="123">
        <f t="shared" si="26"/>
        <v>49146.294117647063</v>
      </c>
      <c r="AH37" s="123">
        <v>307811</v>
      </c>
      <c r="AI37" s="124" t="s">
        <v>252</v>
      </c>
      <c r="AJ37" s="125" t="s">
        <v>252</v>
      </c>
      <c r="AK37" s="126" t="s">
        <v>252</v>
      </c>
      <c r="AL37" s="127" t="s">
        <v>252</v>
      </c>
      <c r="AM37" s="128" t="s">
        <v>258</v>
      </c>
      <c r="AN37" s="129" t="s">
        <v>252</v>
      </c>
      <c r="AO37" s="129" t="s">
        <v>252</v>
      </c>
      <c r="AP37" s="130" t="s">
        <v>252</v>
      </c>
      <c r="AQ37" s="131">
        <v>249942</v>
      </c>
      <c r="AR37" s="132">
        <v>47489</v>
      </c>
      <c r="AS37" s="132">
        <v>297430</v>
      </c>
      <c r="AT37" s="132">
        <v>249942</v>
      </c>
      <c r="AU37" s="132">
        <v>297430</v>
      </c>
      <c r="AV37" s="133">
        <f t="shared" si="15"/>
        <v>278047</v>
      </c>
      <c r="AW37" s="133">
        <f t="shared" si="16"/>
        <v>278047</v>
      </c>
      <c r="AX37" s="133" t="str">
        <f t="shared" si="17"/>
        <v/>
      </c>
      <c r="AY37" s="134">
        <v>2.4299999999999999E-2</v>
      </c>
      <c r="AZ37" s="5"/>
      <c r="BA37" s="7"/>
      <c r="BB37" s="7"/>
    </row>
    <row r="38" spans="1:54" ht="297">
      <c r="A38" s="105" t="s">
        <v>252</v>
      </c>
      <c r="B38" s="105" t="s">
        <v>252</v>
      </c>
      <c r="C38" s="105" t="s">
        <v>252</v>
      </c>
      <c r="D38" s="105" t="s">
        <v>338</v>
      </c>
      <c r="E38" s="106" t="s">
        <v>341</v>
      </c>
      <c r="F38" s="107" t="s">
        <v>255</v>
      </c>
      <c r="G38" s="108">
        <v>1</v>
      </c>
      <c r="H38" s="107"/>
      <c r="I38" s="109"/>
      <c r="J38" s="110"/>
      <c r="K38" s="111"/>
      <c r="L38" s="112"/>
      <c r="M38" s="110"/>
      <c r="N38" s="113"/>
      <c r="O38" s="113"/>
      <c r="P38" s="113"/>
      <c r="Q38" s="114" t="s">
        <v>256</v>
      </c>
      <c r="R38" s="115" t="s">
        <v>256</v>
      </c>
      <c r="S38" s="115" t="s">
        <v>256</v>
      </c>
      <c r="T38" s="115" t="s">
        <v>256</v>
      </c>
      <c r="U38" s="115" t="s">
        <v>256</v>
      </c>
      <c r="V38" s="116" t="s">
        <v>252</v>
      </c>
      <c r="W38" s="117" t="s">
        <v>252</v>
      </c>
      <c r="X38" s="118" t="s">
        <v>252</v>
      </c>
      <c r="Y38" s="119" t="s">
        <v>252</v>
      </c>
      <c r="Z38" s="120" t="s">
        <v>257</v>
      </c>
      <c r="AA38" s="121" t="s">
        <v>252</v>
      </c>
      <c r="AB38" s="121" t="s">
        <v>252</v>
      </c>
      <c r="AC38" s="121" t="s">
        <v>252</v>
      </c>
      <c r="AD38" s="122" t="s">
        <v>252</v>
      </c>
      <c r="AE38" s="123" t="s">
        <v>252</v>
      </c>
      <c r="AF38" s="123">
        <f t="shared" si="25"/>
        <v>305235.29411764705</v>
      </c>
      <c r="AG38" s="123">
        <f t="shared" si="26"/>
        <v>57994.705882352937</v>
      </c>
      <c r="AH38" s="123">
        <v>363230</v>
      </c>
      <c r="AI38" s="124" t="s">
        <v>252</v>
      </c>
      <c r="AJ38" s="125" t="s">
        <v>252</v>
      </c>
      <c r="AK38" s="126" t="s">
        <v>252</v>
      </c>
      <c r="AL38" s="127" t="s">
        <v>252</v>
      </c>
      <c r="AM38" s="128" t="s">
        <v>258</v>
      </c>
      <c r="AN38" s="129" t="s">
        <v>252</v>
      </c>
      <c r="AO38" s="129" t="s">
        <v>252</v>
      </c>
      <c r="AP38" s="130" t="s">
        <v>252</v>
      </c>
      <c r="AQ38" s="131">
        <v>294942</v>
      </c>
      <c r="AR38" s="132">
        <v>56039</v>
      </c>
      <c r="AS38" s="132">
        <v>350980</v>
      </c>
      <c r="AT38" s="132">
        <v>294942</v>
      </c>
      <c r="AU38" s="132">
        <v>350980</v>
      </c>
      <c r="AV38" s="133">
        <f t="shared" si="15"/>
        <v>328108</v>
      </c>
      <c r="AW38" s="133">
        <f t="shared" si="16"/>
        <v>328108</v>
      </c>
      <c r="AX38" s="133" t="str">
        <f t="shared" si="17"/>
        <v/>
      </c>
      <c r="AY38" s="134">
        <v>2.4299999999999999E-2</v>
      </c>
      <c r="AZ38" s="5"/>
      <c r="BA38" s="7"/>
      <c r="BB38" s="7"/>
    </row>
    <row r="39" spans="1:54" ht="297">
      <c r="A39" s="105" t="s">
        <v>252</v>
      </c>
      <c r="B39" s="105" t="s">
        <v>252</v>
      </c>
      <c r="C39" s="105" t="s">
        <v>252</v>
      </c>
      <c r="D39" s="105" t="s">
        <v>342</v>
      </c>
      <c r="E39" s="106" t="s">
        <v>343</v>
      </c>
      <c r="F39" s="107" t="s">
        <v>255</v>
      </c>
      <c r="G39" s="108">
        <v>1</v>
      </c>
      <c r="H39" s="107"/>
      <c r="I39" s="109"/>
      <c r="J39" s="110"/>
      <c r="K39" s="111"/>
      <c r="L39" s="112"/>
      <c r="M39" s="110"/>
      <c r="N39" s="113"/>
      <c r="O39" s="113"/>
      <c r="P39" s="113"/>
      <c r="Q39" s="114" t="s">
        <v>256</v>
      </c>
      <c r="R39" s="115" t="s">
        <v>256</v>
      </c>
      <c r="S39" s="115" t="s">
        <v>256</v>
      </c>
      <c r="T39" s="115" t="s">
        <v>256</v>
      </c>
      <c r="U39" s="115" t="s">
        <v>256</v>
      </c>
      <c r="V39" s="116" t="s">
        <v>252</v>
      </c>
      <c r="W39" s="117" t="s">
        <v>252</v>
      </c>
      <c r="X39" s="118" t="s">
        <v>252</v>
      </c>
      <c r="Y39" s="119" t="s">
        <v>252</v>
      </c>
      <c r="Z39" s="120" t="s">
        <v>257</v>
      </c>
      <c r="AA39" s="121" t="s">
        <v>252</v>
      </c>
      <c r="AB39" s="121" t="s">
        <v>252</v>
      </c>
      <c r="AC39" s="121" t="s">
        <v>252</v>
      </c>
      <c r="AD39" s="122" t="s">
        <v>252</v>
      </c>
      <c r="AE39" s="123" t="s">
        <v>252</v>
      </c>
      <c r="AF39" s="123">
        <f t="shared" si="25"/>
        <v>809750.42016806721</v>
      </c>
      <c r="AG39" s="123">
        <f t="shared" si="26"/>
        <v>153852.57983193276</v>
      </c>
      <c r="AH39" s="123">
        <v>963603</v>
      </c>
      <c r="AI39" s="124" t="s">
        <v>252</v>
      </c>
      <c r="AJ39" s="125" t="s">
        <v>252</v>
      </c>
      <c r="AK39" s="126" t="s">
        <v>252</v>
      </c>
      <c r="AL39" s="127" t="s">
        <v>252</v>
      </c>
      <c r="AM39" s="128" t="s">
        <v>258</v>
      </c>
      <c r="AN39" s="129" t="s">
        <v>252</v>
      </c>
      <c r="AO39" s="129" t="s">
        <v>252</v>
      </c>
      <c r="AP39" s="130" t="s">
        <v>252</v>
      </c>
      <c r="AQ39" s="131">
        <v>805455</v>
      </c>
      <c r="AR39" s="132">
        <v>153036</v>
      </c>
      <c r="AS39" s="132">
        <v>958491</v>
      </c>
      <c r="AT39" s="132">
        <v>805455</v>
      </c>
      <c r="AU39" s="132">
        <v>958491</v>
      </c>
      <c r="AV39" s="133">
        <f t="shared" si="15"/>
        <v>884121</v>
      </c>
      <c r="AW39" s="133">
        <f t="shared" si="16"/>
        <v>884121</v>
      </c>
      <c r="AX39" s="133" t="str">
        <f t="shared" si="17"/>
        <v/>
      </c>
      <c r="AY39" s="134">
        <v>3.8E-3</v>
      </c>
      <c r="AZ39" s="5"/>
      <c r="BA39" s="7"/>
      <c r="BB39" s="7"/>
    </row>
    <row r="40" spans="1:54" ht="297">
      <c r="A40" s="105" t="s">
        <v>252</v>
      </c>
      <c r="B40" s="105" t="s">
        <v>252</v>
      </c>
      <c r="C40" s="105" t="s">
        <v>252</v>
      </c>
      <c r="D40" s="105" t="s">
        <v>344</v>
      </c>
      <c r="E40" s="106" t="s">
        <v>345</v>
      </c>
      <c r="F40" s="107" t="s">
        <v>255</v>
      </c>
      <c r="G40" s="108">
        <v>1</v>
      </c>
      <c r="H40" s="107"/>
      <c r="I40" s="109"/>
      <c r="J40" s="110"/>
      <c r="K40" s="111"/>
      <c r="L40" s="112"/>
      <c r="M40" s="110"/>
      <c r="N40" s="113"/>
      <c r="O40" s="113"/>
      <c r="P40" s="113"/>
      <c r="Q40" s="114" t="s">
        <v>256</v>
      </c>
      <c r="R40" s="115" t="s">
        <v>256</v>
      </c>
      <c r="S40" s="115" t="s">
        <v>256</v>
      </c>
      <c r="T40" s="115" t="s">
        <v>256</v>
      </c>
      <c r="U40" s="115" t="s">
        <v>256</v>
      </c>
      <c r="V40" s="116" t="s">
        <v>252</v>
      </c>
      <c r="W40" s="117" t="s">
        <v>252</v>
      </c>
      <c r="X40" s="118" t="s">
        <v>252</v>
      </c>
      <c r="Y40" s="119" t="s">
        <v>252</v>
      </c>
      <c r="Z40" s="120" t="s">
        <v>257</v>
      </c>
      <c r="AA40" s="121" t="s">
        <v>252</v>
      </c>
      <c r="AB40" s="121" t="s">
        <v>252</v>
      </c>
      <c r="AC40" s="121" t="s">
        <v>252</v>
      </c>
      <c r="AD40" s="122" t="s">
        <v>252</v>
      </c>
      <c r="AE40" s="123" t="s">
        <v>252</v>
      </c>
      <c r="AF40" s="123">
        <f t="shared" si="25"/>
        <v>3706663.0252100844</v>
      </c>
      <c r="AG40" s="123">
        <f t="shared" si="26"/>
        <v>704265.97478991607</v>
      </c>
      <c r="AH40" s="123">
        <v>4410929</v>
      </c>
      <c r="AI40" s="124" t="s">
        <v>252</v>
      </c>
      <c r="AJ40" s="125" t="s">
        <v>252</v>
      </c>
      <c r="AK40" s="126" t="s">
        <v>252</v>
      </c>
      <c r="AL40" s="127" t="s">
        <v>252</v>
      </c>
      <c r="AM40" s="128" t="s">
        <v>258</v>
      </c>
      <c r="AN40" s="129" t="s">
        <v>252</v>
      </c>
      <c r="AO40" s="129" t="s">
        <v>252</v>
      </c>
      <c r="AP40" s="130" t="s">
        <v>252</v>
      </c>
      <c r="AQ40" s="131">
        <v>3686999</v>
      </c>
      <c r="AR40" s="132">
        <v>700530</v>
      </c>
      <c r="AS40" s="132">
        <v>4387529</v>
      </c>
      <c r="AT40" s="132">
        <v>3686999</v>
      </c>
      <c r="AU40" s="132">
        <v>4387529</v>
      </c>
      <c r="AV40" s="133">
        <f t="shared" si="15"/>
        <v>4047096</v>
      </c>
      <c r="AW40" s="133">
        <f t="shared" si="16"/>
        <v>4047096</v>
      </c>
      <c r="AX40" s="133" t="str">
        <f t="shared" si="17"/>
        <v/>
      </c>
      <c r="AY40" s="134">
        <v>3.8E-3</v>
      </c>
      <c r="AZ40" s="5"/>
      <c r="BA40" s="7"/>
      <c r="BB40" s="7"/>
    </row>
    <row r="41" spans="1:54" ht="297">
      <c r="A41" s="105" t="s">
        <v>252</v>
      </c>
      <c r="B41" s="105" t="s">
        <v>252</v>
      </c>
      <c r="C41" s="105" t="s">
        <v>252</v>
      </c>
      <c r="D41" s="105" t="s">
        <v>346</v>
      </c>
      <c r="E41" s="106" t="s">
        <v>347</v>
      </c>
      <c r="F41" s="107" t="s">
        <v>255</v>
      </c>
      <c r="G41" s="108">
        <v>1</v>
      </c>
      <c r="H41" s="107"/>
      <c r="I41" s="109"/>
      <c r="J41" s="110"/>
      <c r="K41" s="111"/>
      <c r="L41" s="112"/>
      <c r="M41" s="110"/>
      <c r="N41" s="113"/>
      <c r="O41" s="113"/>
      <c r="P41" s="113"/>
      <c r="Q41" s="114" t="s">
        <v>256</v>
      </c>
      <c r="R41" s="115" t="s">
        <v>256</v>
      </c>
      <c r="S41" s="115" t="s">
        <v>256</v>
      </c>
      <c r="T41" s="115" t="s">
        <v>256</v>
      </c>
      <c r="U41" s="115" t="s">
        <v>256</v>
      </c>
      <c r="V41" s="116" t="s">
        <v>252</v>
      </c>
      <c r="W41" s="117" t="s">
        <v>252</v>
      </c>
      <c r="X41" s="118" t="s">
        <v>252</v>
      </c>
      <c r="Y41" s="119" t="s">
        <v>252</v>
      </c>
      <c r="Z41" s="120" t="s">
        <v>257</v>
      </c>
      <c r="AA41" s="121" t="s">
        <v>252</v>
      </c>
      <c r="AB41" s="121" t="s">
        <v>252</v>
      </c>
      <c r="AC41" s="121" t="s">
        <v>252</v>
      </c>
      <c r="AD41" s="122" t="s">
        <v>252</v>
      </c>
      <c r="AE41" s="123" t="s">
        <v>252</v>
      </c>
      <c r="AF41" s="123">
        <f t="shared" si="25"/>
        <v>53632.773109243702</v>
      </c>
      <c r="AG41" s="123">
        <f t="shared" si="26"/>
        <v>10190.226890756303</v>
      </c>
      <c r="AH41" s="123">
        <v>63823</v>
      </c>
      <c r="AI41" s="124" t="s">
        <v>252</v>
      </c>
      <c r="AJ41" s="125" t="s">
        <v>252</v>
      </c>
      <c r="AK41" s="126" t="s">
        <v>252</v>
      </c>
      <c r="AL41" s="127" t="s">
        <v>252</v>
      </c>
      <c r="AM41" s="128" t="s">
        <v>258</v>
      </c>
      <c r="AN41" s="129" t="s">
        <v>252</v>
      </c>
      <c r="AO41" s="129" t="s">
        <v>252</v>
      </c>
      <c r="AP41" s="130" t="s">
        <v>252</v>
      </c>
      <c r="AQ41" s="131">
        <v>53348</v>
      </c>
      <c r="AR41" s="132">
        <v>10136</v>
      </c>
      <c r="AS41" s="132">
        <v>63485</v>
      </c>
      <c r="AT41" s="132">
        <v>53348</v>
      </c>
      <c r="AU41" s="132">
        <v>63485</v>
      </c>
      <c r="AV41" s="133">
        <f t="shared" si="15"/>
        <v>58559</v>
      </c>
      <c r="AW41" s="133">
        <f t="shared" si="16"/>
        <v>58559</v>
      </c>
      <c r="AX41" s="133" t="str">
        <f t="shared" si="17"/>
        <v/>
      </c>
      <c r="AY41" s="134">
        <v>3.8E-3</v>
      </c>
      <c r="AZ41" s="5"/>
      <c r="BA41" s="7"/>
      <c r="BB41" s="7"/>
    </row>
    <row r="42" spans="1:54" ht="297">
      <c r="A42" s="105" t="s">
        <v>252</v>
      </c>
      <c r="B42" s="105" t="s">
        <v>252</v>
      </c>
      <c r="C42" s="105" t="s">
        <v>252</v>
      </c>
      <c r="D42" s="105" t="s">
        <v>348</v>
      </c>
      <c r="E42" s="106" t="s">
        <v>349</v>
      </c>
      <c r="F42" s="107" t="s">
        <v>255</v>
      </c>
      <c r="G42" s="108">
        <v>1</v>
      </c>
      <c r="H42" s="107"/>
      <c r="I42" s="109"/>
      <c r="J42" s="110"/>
      <c r="K42" s="111"/>
      <c r="L42" s="112"/>
      <c r="M42" s="110"/>
      <c r="N42" s="113"/>
      <c r="O42" s="113"/>
      <c r="P42" s="113"/>
      <c r="Q42" s="114" t="s">
        <v>256</v>
      </c>
      <c r="R42" s="115" t="s">
        <v>256</v>
      </c>
      <c r="S42" s="115" t="s">
        <v>256</v>
      </c>
      <c r="T42" s="115" t="s">
        <v>256</v>
      </c>
      <c r="U42" s="115" t="s">
        <v>256</v>
      </c>
      <c r="V42" s="116" t="s">
        <v>252</v>
      </c>
      <c r="W42" s="117" t="s">
        <v>252</v>
      </c>
      <c r="X42" s="118" t="s">
        <v>252</v>
      </c>
      <c r="Y42" s="119" t="s">
        <v>252</v>
      </c>
      <c r="Z42" s="120" t="s">
        <v>257</v>
      </c>
      <c r="AA42" s="121" t="s">
        <v>252</v>
      </c>
      <c r="AB42" s="121" t="s">
        <v>252</v>
      </c>
      <c r="AC42" s="121" t="s">
        <v>252</v>
      </c>
      <c r="AD42" s="122" t="s">
        <v>252</v>
      </c>
      <c r="AE42" s="123" t="s">
        <v>252</v>
      </c>
      <c r="AF42" s="123">
        <f t="shared" si="25"/>
        <v>1128785.7142857143</v>
      </c>
      <c r="AG42" s="123">
        <f t="shared" si="26"/>
        <v>214469.28571428571</v>
      </c>
      <c r="AH42" s="123">
        <v>1343255</v>
      </c>
      <c r="AI42" s="124" t="s">
        <v>252</v>
      </c>
      <c r="AJ42" s="125" t="s">
        <v>252</v>
      </c>
      <c r="AK42" s="126" t="s">
        <v>252</v>
      </c>
      <c r="AL42" s="127" t="s">
        <v>252</v>
      </c>
      <c r="AM42" s="128" t="s">
        <v>258</v>
      </c>
      <c r="AN42" s="129" t="s">
        <v>252</v>
      </c>
      <c r="AO42" s="129" t="s">
        <v>252</v>
      </c>
      <c r="AP42" s="130" t="s">
        <v>252</v>
      </c>
      <c r="AQ42" s="131">
        <v>1090717</v>
      </c>
      <c r="AR42" s="132">
        <v>207236</v>
      </c>
      <c r="AS42" s="132">
        <v>1297954</v>
      </c>
      <c r="AT42" s="132">
        <v>1090717</v>
      </c>
      <c r="AU42" s="132">
        <v>1297954</v>
      </c>
      <c r="AV42" s="133">
        <f t="shared" si="15"/>
        <v>1213370</v>
      </c>
      <c r="AW42" s="133">
        <f t="shared" si="16"/>
        <v>1213370</v>
      </c>
      <c r="AX42" s="133" t="str">
        <f t="shared" si="17"/>
        <v/>
      </c>
      <c r="AY42" s="134">
        <v>2.4299999999999999E-2</v>
      </c>
      <c r="AZ42" s="5"/>
      <c r="BA42" s="7"/>
      <c r="BB42" s="7"/>
    </row>
    <row r="43" spans="1:54" ht="297">
      <c r="A43" s="105" t="s">
        <v>252</v>
      </c>
      <c r="B43" s="105" t="s">
        <v>252</v>
      </c>
      <c r="C43" s="105" t="s">
        <v>252</v>
      </c>
      <c r="D43" s="105" t="s">
        <v>350</v>
      </c>
      <c r="E43" s="106" t="s">
        <v>351</v>
      </c>
      <c r="F43" s="107" t="s">
        <v>255</v>
      </c>
      <c r="G43" s="108">
        <v>1</v>
      </c>
      <c r="H43" s="107"/>
      <c r="I43" s="109"/>
      <c r="J43" s="110"/>
      <c r="K43" s="111"/>
      <c r="L43" s="112"/>
      <c r="M43" s="110"/>
      <c r="N43" s="113"/>
      <c r="O43" s="113"/>
      <c r="P43" s="113"/>
      <c r="Q43" s="114" t="s">
        <v>256</v>
      </c>
      <c r="R43" s="115" t="s">
        <v>256</v>
      </c>
      <c r="S43" s="115" t="s">
        <v>256</v>
      </c>
      <c r="T43" s="115" t="s">
        <v>256</v>
      </c>
      <c r="U43" s="115" t="s">
        <v>256</v>
      </c>
      <c r="V43" s="116" t="s">
        <v>252</v>
      </c>
      <c r="W43" s="117" t="s">
        <v>252</v>
      </c>
      <c r="X43" s="118" t="s">
        <v>252</v>
      </c>
      <c r="Y43" s="119" t="s">
        <v>252</v>
      </c>
      <c r="Z43" s="120" t="s">
        <v>257</v>
      </c>
      <c r="AA43" s="121" t="s">
        <v>252</v>
      </c>
      <c r="AB43" s="121" t="s">
        <v>252</v>
      </c>
      <c r="AC43" s="121" t="s">
        <v>252</v>
      </c>
      <c r="AD43" s="122" t="s">
        <v>252</v>
      </c>
      <c r="AE43" s="123" t="s">
        <v>252</v>
      </c>
      <c r="AF43" s="123">
        <f t="shared" si="25"/>
        <v>2252912.6050420171</v>
      </c>
      <c r="AG43" s="123">
        <f t="shared" si="26"/>
        <v>428053.39495798323</v>
      </c>
      <c r="AH43" s="123">
        <v>2680966</v>
      </c>
      <c r="AI43" s="124" t="s">
        <v>252</v>
      </c>
      <c r="AJ43" s="125" t="s">
        <v>252</v>
      </c>
      <c r="AK43" s="126" t="s">
        <v>252</v>
      </c>
      <c r="AL43" s="127" t="s">
        <v>252</v>
      </c>
      <c r="AM43" s="128" t="s">
        <v>258</v>
      </c>
      <c r="AN43" s="129" t="s">
        <v>252</v>
      </c>
      <c r="AO43" s="129" t="s">
        <v>252</v>
      </c>
      <c r="AP43" s="130" t="s">
        <v>252</v>
      </c>
      <c r="AQ43" s="131">
        <v>2176933</v>
      </c>
      <c r="AR43" s="132">
        <v>413617</v>
      </c>
      <c r="AS43" s="132">
        <v>2590551</v>
      </c>
      <c r="AT43" s="132">
        <v>2176933</v>
      </c>
      <c r="AU43" s="132">
        <v>2590551</v>
      </c>
      <c r="AV43" s="133">
        <f t="shared" si="15"/>
        <v>2421732</v>
      </c>
      <c r="AW43" s="133">
        <f t="shared" si="16"/>
        <v>2421732</v>
      </c>
      <c r="AX43" s="133" t="str">
        <f t="shared" si="17"/>
        <v/>
      </c>
      <c r="AY43" s="134">
        <v>2.4299999999999999E-2</v>
      </c>
      <c r="AZ43" s="5"/>
      <c r="BA43" s="7"/>
      <c r="BB43" s="7"/>
    </row>
    <row r="44" spans="1:54" ht="297">
      <c r="A44" s="105" t="s">
        <v>252</v>
      </c>
      <c r="B44" s="105" t="s">
        <v>252</v>
      </c>
      <c r="C44" s="105" t="s">
        <v>252</v>
      </c>
      <c r="D44" s="105" t="s">
        <v>352</v>
      </c>
      <c r="E44" s="106" t="s">
        <v>353</v>
      </c>
      <c r="F44" s="107" t="s">
        <v>255</v>
      </c>
      <c r="G44" s="108">
        <v>1</v>
      </c>
      <c r="H44" s="107"/>
      <c r="I44" s="109"/>
      <c r="J44" s="110"/>
      <c r="K44" s="111"/>
      <c r="L44" s="112"/>
      <c r="M44" s="110"/>
      <c r="N44" s="113"/>
      <c r="O44" s="113"/>
      <c r="P44" s="113"/>
      <c r="Q44" s="114" t="s">
        <v>256</v>
      </c>
      <c r="R44" s="115" t="s">
        <v>256</v>
      </c>
      <c r="S44" s="115" t="s">
        <v>256</v>
      </c>
      <c r="T44" s="115" t="s">
        <v>256</v>
      </c>
      <c r="U44" s="115" t="s">
        <v>256</v>
      </c>
      <c r="V44" s="116" t="s">
        <v>252</v>
      </c>
      <c r="W44" s="117" t="s">
        <v>252</v>
      </c>
      <c r="X44" s="118" t="s">
        <v>252</v>
      </c>
      <c r="Y44" s="119" t="s">
        <v>252</v>
      </c>
      <c r="Z44" s="120" t="s">
        <v>257</v>
      </c>
      <c r="AA44" s="121" t="s">
        <v>252</v>
      </c>
      <c r="AB44" s="121" t="s">
        <v>252</v>
      </c>
      <c r="AC44" s="121" t="s">
        <v>252</v>
      </c>
      <c r="AD44" s="122" t="s">
        <v>252</v>
      </c>
      <c r="AE44" s="123" t="s">
        <v>252</v>
      </c>
      <c r="AF44" s="123">
        <f t="shared" si="25"/>
        <v>2860672.2689075633</v>
      </c>
      <c r="AG44" s="123">
        <f t="shared" si="26"/>
        <v>543527.73109243705</v>
      </c>
      <c r="AH44" s="123">
        <v>3404200</v>
      </c>
      <c r="AI44" s="124" t="s">
        <v>252</v>
      </c>
      <c r="AJ44" s="125" t="s">
        <v>252</v>
      </c>
      <c r="AK44" s="126" t="s">
        <v>252</v>
      </c>
      <c r="AL44" s="127" t="s">
        <v>252</v>
      </c>
      <c r="AM44" s="128" t="s">
        <v>258</v>
      </c>
      <c r="AN44" s="129" t="s">
        <v>252</v>
      </c>
      <c r="AO44" s="129" t="s">
        <v>252</v>
      </c>
      <c r="AP44" s="130" t="s">
        <v>252</v>
      </c>
      <c r="AQ44" s="131">
        <v>2764196</v>
      </c>
      <c r="AR44" s="132">
        <v>525197</v>
      </c>
      <c r="AS44" s="132">
        <v>3289393</v>
      </c>
      <c r="AT44" s="132">
        <v>2764196</v>
      </c>
      <c r="AU44" s="132">
        <v>3289393</v>
      </c>
      <c r="AV44" s="133">
        <f t="shared" si="15"/>
        <v>3075033</v>
      </c>
      <c r="AW44" s="133">
        <f t="shared" si="16"/>
        <v>3075033</v>
      </c>
      <c r="AX44" s="133" t="str">
        <f t="shared" si="17"/>
        <v/>
      </c>
      <c r="AY44" s="134">
        <v>2.4299999999999999E-2</v>
      </c>
      <c r="AZ44" s="5"/>
      <c r="BA44" s="7"/>
      <c r="BB44" s="7"/>
    </row>
    <row r="45" spans="1:54" ht="297">
      <c r="A45" s="105" t="s">
        <v>252</v>
      </c>
      <c r="B45" s="105" t="s">
        <v>252</v>
      </c>
      <c r="C45" s="105" t="s">
        <v>252</v>
      </c>
      <c r="D45" s="105" t="s">
        <v>354</v>
      </c>
      <c r="E45" s="106" t="s">
        <v>355</v>
      </c>
      <c r="F45" s="107" t="s">
        <v>255</v>
      </c>
      <c r="G45" s="108">
        <v>1</v>
      </c>
      <c r="H45" s="107"/>
      <c r="I45" s="109"/>
      <c r="J45" s="110"/>
      <c r="K45" s="111"/>
      <c r="L45" s="112"/>
      <c r="M45" s="110"/>
      <c r="N45" s="113"/>
      <c r="O45" s="113"/>
      <c r="P45" s="113"/>
      <c r="Q45" s="114" t="s">
        <v>256</v>
      </c>
      <c r="R45" s="115" t="s">
        <v>256</v>
      </c>
      <c r="S45" s="115" t="s">
        <v>256</v>
      </c>
      <c r="T45" s="115" t="s">
        <v>256</v>
      </c>
      <c r="U45" s="115" t="s">
        <v>256</v>
      </c>
      <c r="V45" s="116" t="s">
        <v>252</v>
      </c>
      <c r="W45" s="117" t="s">
        <v>252</v>
      </c>
      <c r="X45" s="118" t="s">
        <v>252</v>
      </c>
      <c r="Y45" s="119" t="s">
        <v>252</v>
      </c>
      <c r="Z45" s="120" t="s">
        <v>257</v>
      </c>
      <c r="AA45" s="121" t="s">
        <v>252</v>
      </c>
      <c r="AB45" s="121" t="s">
        <v>252</v>
      </c>
      <c r="AC45" s="121" t="s">
        <v>252</v>
      </c>
      <c r="AD45" s="122" t="s">
        <v>252</v>
      </c>
      <c r="AE45" s="123" t="s">
        <v>252</v>
      </c>
      <c r="AF45" s="123">
        <f t="shared" si="25"/>
        <v>3215490.7563025211</v>
      </c>
      <c r="AG45" s="123">
        <f t="shared" si="26"/>
        <v>610943.24369747902</v>
      </c>
      <c r="AH45" s="123">
        <v>3826434</v>
      </c>
      <c r="AI45" s="124" t="s">
        <v>252</v>
      </c>
      <c r="AJ45" s="125" t="s">
        <v>252</v>
      </c>
      <c r="AK45" s="126" t="s">
        <v>252</v>
      </c>
      <c r="AL45" s="127" t="s">
        <v>252</v>
      </c>
      <c r="AM45" s="128" t="s">
        <v>258</v>
      </c>
      <c r="AN45" s="129" t="s">
        <v>252</v>
      </c>
      <c r="AO45" s="129" t="s">
        <v>252</v>
      </c>
      <c r="AP45" s="130" t="s">
        <v>252</v>
      </c>
      <c r="AQ45" s="131">
        <v>3107049</v>
      </c>
      <c r="AR45" s="132">
        <v>590339</v>
      </c>
      <c r="AS45" s="132">
        <v>3697388</v>
      </c>
      <c r="AT45" s="132">
        <v>3107049</v>
      </c>
      <c r="AU45" s="132">
        <v>3697388</v>
      </c>
      <c r="AV45" s="133">
        <f t="shared" si="15"/>
        <v>3456439</v>
      </c>
      <c r="AW45" s="133">
        <f t="shared" si="16"/>
        <v>3456439</v>
      </c>
      <c r="AX45" s="133" t="str">
        <f t="shared" si="17"/>
        <v/>
      </c>
      <c r="AY45" s="134">
        <v>2.4299999999999999E-2</v>
      </c>
      <c r="AZ45" s="5"/>
      <c r="BA45" s="7"/>
      <c r="BB45" s="7"/>
    </row>
    <row r="46" spans="1:54" ht="54">
      <c r="A46" s="105" t="s">
        <v>181</v>
      </c>
      <c r="B46" s="105" t="s">
        <v>241</v>
      </c>
      <c r="C46" s="105" t="s">
        <v>356</v>
      </c>
      <c r="D46" s="105" t="s">
        <v>357</v>
      </c>
      <c r="E46" s="106" t="s">
        <v>358</v>
      </c>
      <c r="F46" s="107" t="s">
        <v>270</v>
      </c>
      <c r="G46" s="108">
        <v>1</v>
      </c>
      <c r="H46" s="107" t="s">
        <v>288</v>
      </c>
      <c r="I46" s="109" t="s">
        <v>187</v>
      </c>
      <c r="J46" s="110">
        <v>46134</v>
      </c>
      <c r="K46" s="111" t="s">
        <v>359</v>
      </c>
      <c r="L46" s="112" t="s">
        <v>194</v>
      </c>
      <c r="M46" s="110" t="s">
        <v>360</v>
      </c>
      <c r="N46" s="113">
        <v>1320000</v>
      </c>
      <c r="O46" s="113" t="s">
        <v>198</v>
      </c>
      <c r="P46" s="113" t="s">
        <v>192</v>
      </c>
      <c r="Q46" s="114">
        <f>IF(O46="IVA Incluido",(N46/1.19),N46)</f>
        <v>1320000</v>
      </c>
      <c r="R46" s="115">
        <f>IF(P46="Si tiene IVA",Q46*19%,0)</f>
        <v>250800</v>
      </c>
      <c r="S46" s="115">
        <f>Q46+R46</f>
        <v>1570800</v>
      </c>
      <c r="T46" s="115">
        <f>IF(B46="","",(N46*G46))</f>
        <v>1320000</v>
      </c>
      <c r="U46" s="115">
        <f>IF(B46="","",(S46*G46))</f>
        <v>1570800</v>
      </c>
      <c r="V46" s="116" t="s">
        <v>187</v>
      </c>
      <c r="W46" s="117">
        <v>46134</v>
      </c>
      <c r="X46" s="118" t="s">
        <v>277</v>
      </c>
      <c r="Y46" s="119" t="s">
        <v>194</v>
      </c>
      <c r="Z46" s="120" t="s">
        <v>278</v>
      </c>
      <c r="AA46" s="121">
        <v>1261500</v>
      </c>
      <c r="AB46" s="121" t="s">
        <v>198</v>
      </c>
      <c r="AC46" s="121" t="s">
        <v>192</v>
      </c>
      <c r="AD46" s="122">
        <f>IF(AB46="IVA Incluido",(AA46/1.19),AA46)</f>
        <v>1261500</v>
      </c>
      <c r="AE46" s="123">
        <f>IF(AC46="Si tiene IVA",AD46*19%,0)</f>
        <v>239685</v>
      </c>
      <c r="AF46" s="123">
        <f>AD46+AE46</f>
        <v>1501185</v>
      </c>
      <c r="AG46" s="123">
        <f>IF(O46="","",(AA46*G46))</f>
        <v>1261500</v>
      </c>
      <c r="AH46" s="123">
        <f>IF(O46="","",(AF46*G46))</f>
        <v>1501185</v>
      </c>
      <c r="AI46" s="124" t="s">
        <v>187</v>
      </c>
      <c r="AJ46" s="125">
        <v>46080</v>
      </c>
      <c r="AK46" s="126" t="s">
        <v>316</v>
      </c>
      <c r="AL46" s="127" t="s">
        <v>194</v>
      </c>
      <c r="AM46" s="128" t="s">
        <v>317</v>
      </c>
      <c r="AN46" s="129">
        <v>1600000</v>
      </c>
      <c r="AO46" s="129" t="s">
        <v>198</v>
      </c>
      <c r="AP46" s="130" t="s">
        <v>192</v>
      </c>
      <c r="AQ46" s="131">
        <f>IF(AO46="IVA Incluido",(AN46/1.19),AN46)</f>
        <v>1600000</v>
      </c>
      <c r="AR46" s="132">
        <f>IF(AP46="Si tiene IVA",AQ46*19%,0)</f>
        <v>304000</v>
      </c>
      <c r="AS46" s="132">
        <f>AQ46+AR46</f>
        <v>1904000</v>
      </c>
      <c r="AT46" s="132">
        <f>IF(AB46="","",(AN46*G46))</f>
        <v>1600000</v>
      </c>
      <c r="AU46" s="132">
        <f>IF(AB46="","",(AS46*G46))</f>
        <v>1904000</v>
      </c>
      <c r="AV46" s="133">
        <f t="shared" si="15"/>
        <v>1658662</v>
      </c>
      <c r="AW46" s="133">
        <f t="shared" si="16"/>
        <v>1658662</v>
      </c>
      <c r="AX46" s="133">
        <f t="shared" si="17"/>
        <v>215301</v>
      </c>
      <c r="AY46" s="134">
        <f>IF(N46="","",(AX46/AW46))</f>
        <v>0.1298040227605142</v>
      </c>
      <c r="AZ46" s="5"/>
      <c r="BA46" s="7">
        <f>COUNTA(M46,Z46,AM46)</f>
        <v>3</v>
      </c>
      <c r="BB46" s="7"/>
    </row>
    <row r="47" spans="1:54" ht="297">
      <c r="A47" s="105" t="s">
        <v>252</v>
      </c>
      <c r="B47" s="105" t="s">
        <v>252</v>
      </c>
      <c r="C47" s="105" t="s">
        <v>252</v>
      </c>
      <c r="D47" s="105" t="s">
        <v>361</v>
      </c>
      <c r="E47" s="106" t="s">
        <v>362</v>
      </c>
      <c r="F47" s="107" t="s">
        <v>255</v>
      </c>
      <c r="G47" s="108">
        <v>1</v>
      </c>
      <c r="H47" s="107"/>
      <c r="I47" s="109"/>
      <c r="J47" s="110"/>
      <c r="K47" s="111"/>
      <c r="L47" s="112"/>
      <c r="M47" s="110"/>
      <c r="N47" s="113"/>
      <c r="O47" s="113"/>
      <c r="P47" s="113"/>
      <c r="Q47" s="114" t="s">
        <v>256</v>
      </c>
      <c r="R47" s="115" t="s">
        <v>256</v>
      </c>
      <c r="S47" s="115" t="s">
        <v>256</v>
      </c>
      <c r="T47" s="115" t="s">
        <v>256</v>
      </c>
      <c r="U47" s="115" t="s">
        <v>256</v>
      </c>
      <c r="V47" s="116" t="s">
        <v>252</v>
      </c>
      <c r="W47" s="117" t="s">
        <v>252</v>
      </c>
      <c r="X47" s="118" t="s">
        <v>252</v>
      </c>
      <c r="Y47" s="119" t="s">
        <v>252</v>
      </c>
      <c r="Z47" s="120" t="s">
        <v>257</v>
      </c>
      <c r="AA47" s="121" t="s">
        <v>252</v>
      </c>
      <c r="AB47" s="121" t="s">
        <v>252</v>
      </c>
      <c r="AC47" s="121" t="s">
        <v>252</v>
      </c>
      <c r="AD47" s="122" t="s">
        <v>252</v>
      </c>
      <c r="AE47" s="123" t="s">
        <v>252</v>
      </c>
      <c r="AF47" s="123">
        <f>AH47/1.19</f>
        <v>1633309.2436974791</v>
      </c>
      <c r="AG47" s="123">
        <f>AF47*19%</f>
        <v>310328.75630252104</v>
      </c>
      <c r="AH47" s="123">
        <v>1943638</v>
      </c>
      <c r="AI47" s="124" t="s">
        <v>252</v>
      </c>
      <c r="AJ47" s="125" t="s">
        <v>252</v>
      </c>
      <c r="AK47" s="126" t="s">
        <v>252</v>
      </c>
      <c r="AL47" s="127" t="s">
        <v>252</v>
      </c>
      <c r="AM47" s="128" t="s">
        <v>258</v>
      </c>
      <c r="AN47" s="129" t="s">
        <v>252</v>
      </c>
      <c r="AO47" s="129" t="s">
        <v>252</v>
      </c>
      <c r="AP47" s="130" t="s">
        <v>252</v>
      </c>
      <c r="AQ47" s="131">
        <v>1578226</v>
      </c>
      <c r="AR47" s="132">
        <v>299863</v>
      </c>
      <c r="AS47" s="132">
        <v>1878089</v>
      </c>
      <c r="AT47" s="132">
        <v>1578226</v>
      </c>
      <c r="AU47" s="132">
        <v>1878089</v>
      </c>
      <c r="AV47" s="133">
        <f t="shared" si="15"/>
        <v>1755699</v>
      </c>
      <c r="AW47" s="133">
        <f t="shared" si="16"/>
        <v>1755699</v>
      </c>
      <c r="AX47" s="133" t="str">
        <f t="shared" si="17"/>
        <v/>
      </c>
      <c r="AY47" s="134">
        <v>2.4299999999999999E-2</v>
      </c>
      <c r="AZ47" s="5"/>
      <c r="BA47" s="7"/>
      <c r="BB47" s="7"/>
    </row>
    <row r="48" spans="1:54" ht="297">
      <c r="A48" s="105" t="s">
        <v>252</v>
      </c>
      <c r="B48" s="105" t="s">
        <v>252</v>
      </c>
      <c r="C48" s="105" t="s">
        <v>252</v>
      </c>
      <c r="D48" s="105" t="s">
        <v>363</v>
      </c>
      <c r="E48" s="106" t="s">
        <v>364</v>
      </c>
      <c r="F48" s="107" t="s">
        <v>255</v>
      </c>
      <c r="G48" s="108">
        <v>1</v>
      </c>
      <c r="H48" s="107"/>
      <c r="I48" s="109"/>
      <c r="J48" s="110"/>
      <c r="K48" s="111"/>
      <c r="L48" s="112"/>
      <c r="M48" s="110"/>
      <c r="N48" s="113"/>
      <c r="O48" s="113"/>
      <c r="P48" s="113"/>
      <c r="Q48" s="114" t="s">
        <v>256</v>
      </c>
      <c r="R48" s="115" t="s">
        <v>256</v>
      </c>
      <c r="S48" s="115" t="s">
        <v>256</v>
      </c>
      <c r="T48" s="115" t="s">
        <v>256</v>
      </c>
      <c r="U48" s="115" t="s">
        <v>256</v>
      </c>
      <c r="V48" s="116" t="s">
        <v>252</v>
      </c>
      <c r="W48" s="117" t="s">
        <v>252</v>
      </c>
      <c r="X48" s="118" t="s">
        <v>252</v>
      </c>
      <c r="Y48" s="119" t="s">
        <v>252</v>
      </c>
      <c r="Z48" s="120" t="s">
        <v>257</v>
      </c>
      <c r="AA48" s="121" t="s">
        <v>252</v>
      </c>
      <c r="AB48" s="121" t="s">
        <v>252</v>
      </c>
      <c r="AC48" s="121" t="s">
        <v>252</v>
      </c>
      <c r="AD48" s="122" t="s">
        <v>252</v>
      </c>
      <c r="AE48" s="123" t="s">
        <v>252</v>
      </c>
      <c r="AF48" s="123">
        <f>AH48/1.19</f>
        <v>184506.72268907563</v>
      </c>
      <c r="AG48" s="123">
        <f>AF48*19%</f>
        <v>35056.277310924372</v>
      </c>
      <c r="AH48" s="123">
        <v>219563</v>
      </c>
      <c r="AI48" s="124" t="s">
        <v>252</v>
      </c>
      <c r="AJ48" s="125" t="s">
        <v>252</v>
      </c>
      <c r="AK48" s="126" t="s">
        <v>252</v>
      </c>
      <c r="AL48" s="127" t="s">
        <v>252</v>
      </c>
      <c r="AM48" s="128" t="s">
        <v>258</v>
      </c>
      <c r="AN48" s="129" t="s">
        <v>252</v>
      </c>
      <c r="AO48" s="129" t="s">
        <v>252</v>
      </c>
      <c r="AP48" s="130" t="s">
        <v>252</v>
      </c>
      <c r="AQ48" s="131">
        <v>178284</v>
      </c>
      <c r="AR48" s="132">
        <v>33874</v>
      </c>
      <c r="AS48" s="132">
        <v>212158</v>
      </c>
      <c r="AT48" s="132">
        <v>178284</v>
      </c>
      <c r="AU48" s="132">
        <v>212158</v>
      </c>
      <c r="AV48" s="133">
        <f t="shared" si="15"/>
        <v>198332</v>
      </c>
      <c r="AW48" s="133">
        <f t="shared" si="16"/>
        <v>198332</v>
      </c>
      <c r="AX48" s="133" t="str">
        <f t="shared" si="17"/>
        <v/>
      </c>
      <c r="AY48" s="134">
        <v>2.4299999999999999E-2</v>
      </c>
      <c r="AZ48" s="5"/>
      <c r="BA48" s="7"/>
      <c r="BB48" s="7"/>
    </row>
    <row r="49" spans="1:54" ht="297">
      <c r="A49" s="105" t="s">
        <v>252</v>
      </c>
      <c r="B49" s="105" t="s">
        <v>252</v>
      </c>
      <c r="C49" s="105" t="s">
        <v>252</v>
      </c>
      <c r="D49" s="105" t="s">
        <v>365</v>
      </c>
      <c r="E49" s="106" t="s">
        <v>366</v>
      </c>
      <c r="F49" s="107" t="s">
        <v>255</v>
      </c>
      <c r="G49" s="108">
        <v>1</v>
      </c>
      <c r="H49" s="107"/>
      <c r="I49" s="109"/>
      <c r="J49" s="110"/>
      <c r="K49" s="111"/>
      <c r="L49" s="112"/>
      <c r="M49" s="110"/>
      <c r="N49" s="113"/>
      <c r="O49" s="113"/>
      <c r="P49" s="113"/>
      <c r="Q49" s="114" t="s">
        <v>256</v>
      </c>
      <c r="R49" s="115" t="s">
        <v>256</v>
      </c>
      <c r="S49" s="115" t="s">
        <v>256</v>
      </c>
      <c r="T49" s="115" t="s">
        <v>256</v>
      </c>
      <c r="U49" s="115" t="s">
        <v>256</v>
      </c>
      <c r="V49" s="116" t="s">
        <v>252</v>
      </c>
      <c r="W49" s="117" t="s">
        <v>252</v>
      </c>
      <c r="X49" s="118" t="s">
        <v>252</v>
      </c>
      <c r="Y49" s="119" t="s">
        <v>252</v>
      </c>
      <c r="Z49" s="120" t="s">
        <v>257</v>
      </c>
      <c r="AA49" s="121" t="s">
        <v>252</v>
      </c>
      <c r="AB49" s="121" t="s">
        <v>252</v>
      </c>
      <c r="AC49" s="121" t="s">
        <v>252</v>
      </c>
      <c r="AD49" s="122" t="s">
        <v>252</v>
      </c>
      <c r="AE49" s="123" t="s">
        <v>252</v>
      </c>
      <c r="AF49" s="123">
        <f>AH49/1.19</f>
        <v>81027.731092436981</v>
      </c>
      <c r="AG49" s="123">
        <f>AF49*19%</f>
        <v>15395.268907563026</v>
      </c>
      <c r="AH49" s="123">
        <v>96423</v>
      </c>
      <c r="AI49" s="124" t="s">
        <v>252</v>
      </c>
      <c r="AJ49" s="125" t="s">
        <v>252</v>
      </c>
      <c r="AK49" s="126" t="s">
        <v>252</v>
      </c>
      <c r="AL49" s="127" t="s">
        <v>252</v>
      </c>
      <c r="AM49" s="128" t="s">
        <v>258</v>
      </c>
      <c r="AN49" s="129" t="s">
        <v>252</v>
      </c>
      <c r="AO49" s="129" t="s">
        <v>252</v>
      </c>
      <c r="AP49" s="130" t="s">
        <v>252</v>
      </c>
      <c r="AQ49" s="131">
        <v>78295</v>
      </c>
      <c r="AR49" s="132">
        <v>14876</v>
      </c>
      <c r="AS49" s="132">
        <v>93171</v>
      </c>
      <c r="AT49" s="132">
        <v>78295</v>
      </c>
      <c r="AU49" s="132">
        <v>93171</v>
      </c>
      <c r="AV49" s="133">
        <f t="shared" si="15"/>
        <v>87099</v>
      </c>
      <c r="AW49" s="133">
        <f t="shared" si="16"/>
        <v>87099</v>
      </c>
      <c r="AX49" s="133" t="str">
        <f t="shared" si="17"/>
        <v/>
      </c>
      <c r="AY49" s="134">
        <v>2.4299999999999999E-2</v>
      </c>
      <c r="AZ49" s="5"/>
      <c r="BA49" s="7"/>
      <c r="BB49" s="7"/>
    </row>
    <row r="50" spans="1:54" ht="297">
      <c r="A50" s="105" t="s">
        <v>252</v>
      </c>
      <c r="B50" s="105" t="s">
        <v>252</v>
      </c>
      <c r="C50" s="105" t="s">
        <v>252</v>
      </c>
      <c r="D50" s="105" t="s">
        <v>367</v>
      </c>
      <c r="E50" s="106" t="s">
        <v>368</v>
      </c>
      <c r="F50" s="107" t="s">
        <v>255</v>
      </c>
      <c r="G50" s="108">
        <v>1</v>
      </c>
      <c r="H50" s="107"/>
      <c r="I50" s="109"/>
      <c r="J50" s="110"/>
      <c r="K50" s="111"/>
      <c r="L50" s="112"/>
      <c r="M50" s="110"/>
      <c r="N50" s="113"/>
      <c r="O50" s="113"/>
      <c r="P50" s="113"/>
      <c r="Q50" s="114" t="s">
        <v>256</v>
      </c>
      <c r="R50" s="115" t="s">
        <v>256</v>
      </c>
      <c r="S50" s="115" t="s">
        <v>256</v>
      </c>
      <c r="T50" s="115" t="s">
        <v>256</v>
      </c>
      <c r="U50" s="115" t="s">
        <v>256</v>
      </c>
      <c r="V50" s="116" t="s">
        <v>252</v>
      </c>
      <c r="W50" s="117" t="s">
        <v>252</v>
      </c>
      <c r="X50" s="118" t="s">
        <v>252</v>
      </c>
      <c r="Y50" s="119" t="s">
        <v>252</v>
      </c>
      <c r="Z50" s="120" t="s">
        <v>257</v>
      </c>
      <c r="AA50" s="121" t="s">
        <v>252</v>
      </c>
      <c r="AB50" s="121" t="s">
        <v>252</v>
      </c>
      <c r="AC50" s="121" t="s">
        <v>252</v>
      </c>
      <c r="AD50" s="122" t="s">
        <v>252</v>
      </c>
      <c r="AE50" s="123" t="s">
        <v>252</v>
      </c>
      <c r="AF50" s="123">
        <f>AH50/1.19</f>
        <v>975838.65546218492</v>
      </c>
      <c r="AG50" s="123">
        <f>AF50*19%</f>
        <v>185409.34453781514</v>
      </c>
      <c r="AH50" s="123">
        <v>1161248</v>
      </c>
      <c r="AI50" s="124" t="s">
        <v>252</v>
      </c>
      <c r="AJ50" s="125" t="s">
        <v>252</v>
      </c>
      <c r="AK50" s="126" t="s">
        <v>252</v>
      </c>
      <c r="AL50" s="127" t="s">
        <v>252</v>
      </c>
      <c r="AM50" s="128" t="s">
        <v>258</v>
      </c>
      <c r="AN50" s="129" t="s">
        <v>252</v>
      </c>
      <c r="AO50" s="129" t="s">
        <v>252</v>
      </c>
      <c r="AP50" s="130" t="s">
        <v>252</v>
      </c>
      <c r="AQ50" s="131">
        <v>961418</v>
      </c>
      <c r="AR50" s="132">
        <v>182669</v>
      </c>
      <c r="AS50" s="132">
        <v>1144087</v>
      </c>
      <c r="AT50" s="132">
        <v>961418</v>
      </c>
      <c r="AU50" s="132">
        <v>1144087</v>
      </c>
      <c r="AV50" s="133">
        <f t="shared" si="15"/>
        <v>1059963</v>
      </c>
      <c r="AW50" s="133">
        <f t="shared" si="16"/>
        <v>1059963</v>
      </c>
      <c r="AX50" s="133" t="str">
        <f t="shared" si="17"/>
        <v/>
      </c>
      <c r="AY50" s="134">
        <v>1.0500000000000001E-2</v>
      </c>
      <c r="AZ50" s="5"/>
      <c r="BA50" s="7"/>
      <c r="BB50" s="7"/>
    </row>
    <row r="51" spans="1:54" ht="67.5">
      <c r="A51" s="105" t="s">
        <v>181</v>
      </c>
      <c r="B51" s="105" t="s">
        <v>241</v>
      </c>
      <c r="C51" s="105" t="s">
        <v>285</v>
      </c>
      <c r="D51" s="105" t="s">
        <v>369</v>
      </c>
      <c r="E51" s="106" t="s">
        <v>370</v>
      </c>
      <c r="F51" s="107" t="s">
        <v>185</v>
      </c>
      <c r="G51" s="108">
        <v>1</v>
      </c>
      <c r="H51" s="107" t="s">
        <v>288</v>
      </c>
      <c r="I51" s="109" t="s">
        <v>187</v>
      </c>
      <c r="J51" s="110">
        <v>46152</v>
      </c>
      <c r="K51" s="111" t="s">
        <v>289</v>
      </c>
      <c r="L51" s="112" t="s">
        <v>189</v>
      </c>
      <c r="M51" s="110" t="s">
        <v>290</v>
      </c>
      <c r="N51" s="113">
        <v>1150000</v>
      </c>
      <c r="O51" s="113" t="s">
        <v>198</v>
      </c>
      <c r="P51" s="113" t="s">
        <v>192</v>
      </c>
      <c r="Q51" s="114">
        <f>IF(O51="IVA Incluido",(N51/1.19),N51)</f>
        <v>1150000</v>
      </c>
      <c r="R51" s="115">
        <f>IF(P51="Si tiene IVA",Q51*19%,0)</f>
        <v>218500</v>
      </c>
      <c r="S51" s="115">
        <f>Q51+R51</f>
        <v>1368500</v>
      </c>
      <c r="T51" s="115">
        <f>IF(B51="","",(N51*G51))</f>
        <v>1150000</v>
      </c>
      <c r="U51" s="115">
        <f>IF(B51="","",(S51*G51))</f>
        <v>1368500</v>
      </c>
      <c r="V51" s="116" t="s">
        <v>187</v>
      </c>
      <c r="W51" s="117">
        <v>46152</v>
      </c>
      <c r="X51" s="118" t="s">
        <v>371</v>
      </c>
      <c r="Y51" s="119" t="s">
        <v>194</v>
      </c>
      <c r="Z51" s="120" t="s">
        <v>372</v>
      </c>
      <c r="AA51" s="121">
        <v>1008403</v>
      </c>
      <c r="AB51" s="121" t="s">
        <v>198</v>
      </c>
      <c r="AC51" s="121" t="s">
        <v>192</v>
      </c>
      <c r="AD51" s="122">
        <f>IF(AB51="IVA Incluido",(AA51/1.19),AA51)</f>
        <v>1008403</v>
      </c>
      <c r="AE51" s="123">
        <f>IF(AC51="Si tiene IVA",AD51*19%,0)</f>
        <v>191596.57</v>
      </c>
      <c r="AF51" s="123">
        <f>AD51+AE51</f>
        <v>1199999.57</v>
      </c>
      <c r="AG51" s="123">
        <f>IF(O51="","",(AA51*G51))</f>
        <v>1008403</v>
      </c>
      <c r="AH51" s="123">
        <f>IF(O51="","",(AF51*G51))</f>
        <v>1199999.57</v>
      </c>
      <c r="AI51" s="124" t="s">
        <v>373</v>
      </c>
      <c r="AJ51" s="125">
        <v>46071</v>
      </c>
      <c r="AK51" s="126" t="s">
        <v>293</v>
      </c>
      <c r="AL51" s="127" t="s">
        <v>194</v>
      </c>
      <c r="AM51" s="128" t="s">
        <v>294</v>
      </c>
      <c r="AN51" s="129">
        <v>1100000</v>
      </c>
      <c r="AO51" s="129" t="s">
        <v>198</v>
      </c>
      <c r="AP51" s="130" t="s">
        <v>192</v>
      </c>
      <c r="AQ51" s="131">
        <f>IF(AO51="IVA Incluido",(AN51/1.19),AN51)</f>
        <v>1100000</v>
      </c>
      <c r="AR51" s="132">
        <f>IF(AP51="Si tiene IVA",AQ51*19%,0)</f>
        <v>209000</v>
      </c>
      <c r="AS51" s="132">
        <f>AQ51+AR51</f>
        <v>1309000</v>
      </c>
      <c r="AT51" s="132">
        <f>IF(AB51="","",(AN51*G51))</f>
        <v>1100000</v>
      </c>
      <c r="AU51" s="132">
        <f>IF(AB51="","",(AS51*G51))</f>
        <v>1309000</v>
      </c>
      <c r="AV51" s="133">
        <f t="shared" si="15"/>
        <v>1292500</v>
      </c>
      <c r="AW51" s="133">
        <f t="shared" si="16"/>
        <v>1292500</v>
      </c>
      <c r="AX51" s="133">
        <f t="shared" si="17"/>
        <v>85453</v>
      </c>
      <c r="AY51" s="134">
        <f>IF(N51="","",(AX51/AW51))</f>
        <v>6.6114506769825915E-2</v>
      </c>
      <c r="AZ51" s="5"/>
      <c r="BA51" s="7">
        <f>COUNTA(M51,Z51,AM51)</f>
        <v>3</v>
      </c>
      <c r="BB51" s="7"/>
    </row>
    <row r="52" spans="1:54" ht="297">
      <c r="A52" s="105" t="s">
        <v>252</v>
      </c>
      <c r="B52" s="105" t="s">
        <v>252</v>
      </c>
      <c r="C52" s="105" t="s">
        <v>252</v>
      </c>
      <c r="D52" s="105" t="s">
        <v>374</v>
      </c>
      <c r="E52" s="106" t="s">
        <v>375</v>
      </c>
      <c r="F52" s="107" t="s">
        <v>255</v>
      </c>
      <c r="G52" s="108">
        <v>1</v>
      </c>
      <c r="H52" s="107"/>
      <c r="I52" s="109"/>
      <c r="J52" s="110"/>
      <c r="K52" s="111"/>
      <c r="L52" s="112"/>
      <c r="M52" s="110"/>
      <c r="N52" s="113"/>
      <c r="O52" s="113"/>
      <c r="P52" s="113"/>
      <c r="Q52" s="114" t="s">
        <v>256</v>
      </c>
      <c r="R52" s="115" t="s">
        <v>256</v>
      </c>
      <c r="S52" s="115" t="s">
        <v>256</v>
      </c>
      <c r="T52" s="115" t="s">
        <v>256</v>
      </c>
      <c r="U52" s="115" t="s">
        <v>256</v>
      </c>
      <c r="V52" s="116" t="s">
        <v>252</v>
      </c>
      <c r="W52" s="117" t="s">
        <v>252</v>
      </c>
      <c r="X52" s="118" t="s">
        <v>252</v>
      </c>
      <c r="Y52" s="119" t="s">
        <v>252</v>
      </c>
      <c r="Z52" s="120" t="s">
        <v>257</v>
      </c>
      <c r="AA52" s="121" t="s">
        <v>252</v>
      </c>
      <c r="AB52" s="121" t="s">
        <v>252</v>
      </c>
      <c r="AC52" s="121" t="s">
        <v>252</v>
      </c>
      <c r="AD52" s="122" t="s">
        <v>252</v>
      </c>
      <c r="AE52" s="123" t="s">
        <v>252</v>
      </c>
      <c r="AF52" s="123">
        <f>AH52/1.19</f>
        <v>1997464.705882353</v>
      </c>
      <c r="AG52" s="123">
        <f>AF52*19%</f>
        <v>379518.29411764705</v>
      </c>
      <c r="AH52" s="123">
        <v>2376983</v>
      </c>
      <c r="AI52" s="124" t="s">
        <v>252</v>
      </c>
      <c r="AJ52" s="125" t="s">
        <v>252</v>
      </c>
      <c r="AK52" s="126" t="s">
        <v>252</v>
      </c>
      <c r="AL52" s="127" t="s">
        <v>252</v>
      </c>
      <c r="AM52" s="128" t="s">
        <v>258</v>
      </c>
      <c r="AN52" s="129" t="s">
        <v>252</v>
      </c>
      <c r="AO52" s="129" t="s">
        <v>252</v>
      </c>
      <c r="AP52" s="130" t="s">
        <v>252</v>
      </c>
      <c r="AQ52" s="131">
        <v>1986868</v>
      </c>
      <c r="AR52" s="132">
        <v>377505</v>
      </c>
      <c r="AS52" s="132">
        <v>2364373</v>
      </c>
      <c r="AT52" s="132">
        <v>1986868</v>
      </c>
      <c r="AU52" s="132">
        <v>2364373</v>
      </c>
      <c r="AV52" s="133">
        <f t="shared" si="15"/>
        <v>2180919</v>
      </c>
      <c r="AW52" s="133">
        <f t="shared" si="16"/>
        <v>2180919</v>
      </c>
      <c r="AX52" s="133" t="str">
        <f t="shared" si="17"/>
        <v/>
      </c>
      <c r="AY52" s="134">
        <v>3.8E-3</v>
      </c>
      <c r="AZ52" s="5"/>
      <c r="BA52" s="7"/>
      <c r="BB52" s="7"/>
    </row>
    <row r="53" spans="1:54" ht="297">
      <c r="A53" s="105" t="s">
        <v>252</v>
      </c>
      <c r="B53" s="105" t="s">
        <v>252</v>
      </c>
      <c r="C53" s="105" t="s">
        <v>252</v>
      </c>
      <c r="D53" s="105" t="s">
        <v>376</v>
      </c>
      <c r="E53" s="106" t="s">
        <v>377</v>
      </c>
      <c r="F53" s="107" t="s">
        <v>255</v>
      </c>
      <c r="G53" s="108">
        <v>1</v>
      </c>
      <c r="H53" s="107"/>
      <c r="I53" s="109"/>
      <c r="J53" s="110"/>
      <c r="K53" s="111"/>
      <c r="L53" s="112"/>
      <c r="M53" s="110"/>
      <c r="N53" s="113"/>
      <c r="O53" s="113"/>
      <c r="P53" s="113"/>
      <c r="Q53" s="114" t="s">
        <v>256</v>
      </c>
      <c r="R53" s="115" t="s">
        <v>256</v>
      </c>
      <c r="S53" s="115" t="s">
        <v>256</v>
      </c>
      <c r="T53" s="115" t="s">
        <v>256</v>
      </c>
      <c r="U53" s="115" t="s">
        <v>256</v>
      </c>
      <c r="V53" s="116" t="s">
        <v>252</v>
      </c>
      <c r="W53" s="117" t="s">
        <v>252</v>
      </c>
      <c r="X53" s="118" t="s">
        <v>252</v>
      </c>
      <c r="Y53" s="119" t="s">
        <v>252</v>
      </c>
      <c r="Z53" s="120" t="s">
        <v>257</v>
      </c>
      <c r="AA53" s="121" t="s">
        <v>252</v>
      </c>
      <c r="AB53" s="121" t="s">
        <v>252</v>
      </c>
      <c r="AC53" s="121" t="s">
        <v>252</v>
      </c>
      <c r="AD53" s="122" t="s">
        <v>252</v>
      </c>
      <c r="AE53" s="123" t="s">
        <v>252</v>
      </c>
      <c r="AF53" s="123">
        <f>AH53/1.19</f>
        <v>2363376.4705882352</v>
      </c>
      <c r="AG53" s="123">
        <f>AF53*19%</f>
        <v>449041.5294117647</v>
      </c>
      <c r="AH53" s="123">
        <v>2812418</v>
      </c>
      <c r="AI53" s="124" t="s">
        <v>252</v>
      </c>
      <c r="AJ53" s="125" t="s">
        <v>252</v>
      </c>
      <c r="AK53" s="126" t="s">
        <v>252</v>
      </c>
      <c r="AL53" s="127" t="s">
        <v>252</v>
      </c>
      <c r="AM53" s="128" t="s">
        <v>258</v>
      </c>
      <c r="AN53" s="129" t="s">
        <v>252</v>
      </c>
      <c r="AO53" s="129" t="s">
        <v>252</v>
      </c>
      <c r="AP53" s="130" t="s">
        <v>252</v>
      </c>
      <c r="AQ53" s="131">
        <v>2350838</v>
      </c>
      <c r="AR53" s="132">
        <v>446659</v>
      </c>
      <c r="AS53" s="132">
        <v>2797498</v>
      </c>
      <c r="AT53" s="132">
        <v>2350838</v>
      </c>
      <c r="AU53" s="132">
        <v>2797498</v>
      </c>
      <c r="AV53" s="133">
        <f t="shared" si="15"/>
        <v>2580437</v>
      </c>
      <c r="AW53" s="133">
        <f t="shared" si="16"/>
        <v>2580437</v>
      </c>
      <c r="AX53" s="133" t="str">
        <f t="shared" si="17"/>
        <v/>
      </c>
      <c r="AY53" s="134">
        <v>3.8E-3</v>
      </c>
      <c r="AZ53" s="5"/>
      <c r="BA53" s="7"/>
      <c r="BB53" s="7"/>
    </row>
    <row r="54" spans="1:54" ht="54">
      <c r="A54" s="105" t="s">
        <v>181</v>
      </c>
      <c r="B54" s="105" t="s">
        <v>241</v>
      </c>
      <c r="C54" s="105" t="s">
        <v>378</v>
      </c>
      <c r="D54" s="105" t="s">
        <v>379</v>
      </c>
      <c r="E54" s="106" t="s">
        <v>380</v>
      </c>
      <c r="F54" s="107" t="s">
        <v>185</v>
      </c>
      <c r="G54" s="108">
        <v>1</v>
      </c>
      <c r="H54" s="107" t="s">
        <v>288</v>
      </c>
      <c r="I54" s="109" t="s">
        <v>381</v>
      </c>
      <c r="J54" s="110">
        <v>46056</v>
      </c>
      <c r="K54" s="111" t="s">
        <v>382</v>
      </c>
      <c r="L54" s="112" t="s">
        <v>194</v>
      </c>
      <c r="M54" s="110" t="s">
        <v>278</v>
      </c>
      <c r="N54" s="113">
        <v>1050000</v>
      </c>
      <c r="O54" s="113" t="s">
        <v>198</v>
      </c>
      <c r="P54" s="113" t="s">
        <v>192</v>
      </c>
      <c r="Q54" s="114">
        <f>IF(O54="IVA Incluido",(N54/1.19),N54)</f>
        <v>1050000</v>
      </c>
      <c r="R54" s="115">
        <f>IF(P54="Si tiene IVA",Q54*19%,0)</f>
        <v>199500</v>
      </c>
      <c r="S54" s="115">
        <f>Q54+R54</f>
        <v>1249500</v>
      </c>
      <c r="T54" s="115">
        <f>IF(B54="","",(N54*G54))</f>
        <v>1050000</v>
      </c>
      <c r="U54" s="115">
        <f>IF(B54="","",(S54*G54))</f>
        <v>1249500</v>
      </c>
      <c r="V54" s="116" t="s">
        <v>381</v>
      </c>
      <c r="W54" s="117">
        <v>46070</v>
      </c>
      <c r="X54" s="118" t="s">
        <v>383</v>
      </c>
      <c r="Y54" s="119" t="s">
        <v>194</v>
      </c>
      <c r="Z54" s="120" t="s">
        <v>384</v>
      </c>
      <c r="AA54" s="121">
        <v>1500000</v>
      </c>
      <c r="AB54" s="121" t="s">
        <v>198</v>
      </c>
      <c r="AC54" s="121" t="s">
        <v>192</v>
      </c>
      <c r="AD54" s="122">
        <f>IF(AB54="IVA Incluido",(AA54/1.19),AA54)</f>
        <v>1500000</v>
      </c>
      <c r="AE54" s="123">
        <f>IF(AC54="Si tiene IVA",AD54*19%,0)</f>
        <v>285000</v>
      </c>
      <c r="AF54" s="123">
        <f>AD54+AE54</f>
        <v>1785000</v>
      </c>
      <c r="AG54" s="123">
        <f>IF(O54="","",(AA54*G54))</f>
        <v>1500000</v>
      </c>
      <c r="AH54" s="123">
        <f>IF(O54="","",(AF54*G54))</f>
        <v>1785000</v>
      </c>
      <c r="AI54" s="124" t="s">
        <v>381</v>
      </c>
      <c r="AJ54" s="125">
        <v>46105</v>
      </c>
      <c r="AK54" s="126" t="s">
        <v>371</v>
      </c>
      <c r="AL54" s="127" t="s">
        <v>194</v>
      </c>
      <c r="AM54" s="128" t="s">
        <v>372</v>
      </c>
      <c r="AN54" s="129">
        <v>1260504</v>
      </c>
      <c r="AO54" s="129" t="s">
        <v>198</v>
      </c>
      <c r="AP54" s="130" t="s">
        <v>192</v>
      </c>
      <c r="AQ54" s="131">
        <f>IF(AO54="IVA Incluido",(AN54/1.19),AN54)</f>
        <v>1260504</v>
      </c>
      <c r="AR54" s="132">
        <f>IF(AP54="Si tiene IVA",AQ54*19%,0)</f>
        <v>239495.76</v>
      </c>
      <c r="AS54" s="132">
        <f>AQ54+AR54</f>
        <v>1499999.76</v>
      </c>
      <c r="AT54" s="132">
        <f>IF(AB54="","",(AN54*G54))</f>
        <v>1260504</v>
      </c>
      <c r="AU54" s="132">
        <f>IF(AB54="","",(AS54*G54))</f>
        <v>1499999.76</v>
      </c>
      <c r="AV54" s="133">
        <f t="shared" si="15"/>
        <v>1511500</v>
      </c>
      <c r="AW54" s="133">
        <f t="shared" si="16"/>
        <v>1511500</v>
      </c>
      <c r="AX54" s="133">
        <f t="shared" si="17"/>
        <v>267935</v>
      </c>
      <c r="AY54" s="134">
        <f>IF(N54="","",(AX54/AW54))</f>
        <v>0.17726430697982137</v>
      </c>
      <c r="AZ54" s="5"/>
      <c r="BA54" s="7">
        <f>COUNTA(M54,Z54,AM54)</f>
        <v>3</v>
      </c>
      <c r="BB54" s="7"/>
    </row>
    <row r="55" spans="1:54" ht="54">
      <c r="A55" s="105" t="s">
        <v>181</v>
      </c>
      <c r="B55" s="105" t="s">
        <v>241</v>
      </c>
      <c r="C55" s="105" t="s">
        <v>378</v>
      </c>
      <c r="D55" s="105" t="s">
        <v>385</v>
      </c>
      <c r="E55" s="106" t="s">
        <v>386</v>
      </c>
      <c r="F55" s="107" t="s">
        <v>185</v>
      </c>
      <c r="G55" s="108">
        <v>1</v>
      </c>
      <c r="H55" s="107" t="s">
        <v>288</v>
      </c>
      <c r="I55" s="109" t="s">
        <v>381</v>
      </c>
      <c r="J55" s="110">
        <v>46056</v>
      </c>
      <c r="K55" s="111" t="s">
        <v>382</v>
      </c>
      <c r="L55" s="112" t="s">
        <v>194</v>
      </c>
      <c r="M55" s="110" t="s">
        <v>278</v>
      </c>
      <c r="N55" s="113">
        <v>1050000</v>
      </c>
      <c r="O55" s="113" t="s">
        <v>198</v>
      </c>
      <c r="P55" s="113" t="s">
        <v>192</v>
      </c>
      <c r="Q55" s="114">
        <f>IF(O55="IVA Incluido",(N55/1.19),N55)</f>
        <v>1050000</v>
      </c>
      <c r="R55" s="115">
        <f>IF(P55="Si tiene IVA",Q55*19%,0)</f>
        <v>199500</v>
      </c>
      <c r="S55" s="115">
        <f>Q55+R55</f>
        <v>1249500</v>
      </c>
      <c r="T55" s="115">
        <f>IF(B55="","",(N55*G55))</f>
        <v>1050000</v>
      </c>
      <c r="U55" s="115">
        <f>IF(B55="","",(S55*G55))</f>
        <v>1249500</v>
      </c>
      <c r="V55" s="116" t="s">
        <v>381</v>
      </c>
      <c r="W55" s="117">
        <v>46070</v>
      </c>
      <c r="X55" s="118" t="s">
        <v>383</v>
      </c>
      <c r="Y55" s="119" t="s">
        <v>194</v>
      </c>
      <c r="Z55" s="120" t="s">
        <v>384</v>
      </c>
      <c r="AA55" s="121">
        <v>1500000</v>
      </c>
      <c r="AB55" s="121" t="s">
        <v>198</v>
      </c>
      <c r="AC55" s="121" t="s">
        <v>192</v>
      </c>
      <c r="AD55" s="122">
        <f>IF(AB55="IVA Incluido",(AA55/1.19),AA55)</f>
        <v>1500000</v>
      </c>
      <c r="AE55" s="123">
        <f>IF(AC55="Si tiene IVA",AD55*19%,0)</f>
        <v>285000</v>
      </c>
      <c r="AF55" s="123">
        <f>AD55+AE55</f>
        <v>1785000</v>
      </c>
      <c r="AG55" s="123">
        <f>IF(O55="","",(AA55*G55))</f>
        <v>1500000</v>
      </c>
      <c r="AH55" s="123">
        <f>IF(O55="","",(AF55*G55))</f>
        <v>1785000</v>
      </c>
      <c r="AI55" s="124" t="s">
        <v>381</v>
      </c>
      <c r="AJ55" s="125">
        <v>46105</v>
      </c>
      <c r="AK55" s="126" t="s">
        <v>371</v>
      </c>
      <c r="AL55" s="127" t="s">
        <v>194</v>
      </c>
      <c r="AM55" s="128" t="s">
        <v>372</v>
      </c>
      <c r="AN55" s="129">
        <v>1260504</v>
      </c>
      <c r="AO55" s="129" t="s">
        <v>198</v>
      </c>
      <c r="AP55" s="130" t="s">
        <v>192</v>
      </c>
      <c r="AQ55" s="131">
        <f>IF(AO55="IVA Incluido",(AN55/1.19),AN55)</f>
        <v>1260504</v>
      </c>
      <c r="AR55" s="132">
        <f>IF(AP55="Si tiene IVA",AQ55*19%,0)</f>
        <v>239495.76</v>
      </c>
      <c r="AS55" s="132">
        <f>AQ55+AR55</f>
        <v>1499999.76</v>
      </c>
      <c r="AT55" s="132">
        <f>IF(AB55="","",(AN55*G55))</f>
        <v>1260504</v>
      </c>
      <c r="AU55" s="132">
        <f>IF(AB55="","",(AS55*G55))</f>
        <v>1499999.76</v>
      </c>
      <c r="AV55" s="133">
        <f t="shared" si="15"/>
        <v>1511500</v>
      </c>
      <c r="AW55" s="133">
        <f t="shared" si="16"/>
        <v>1511500</v>
      </c>
      <c r="AX55" s="133">
        <f t="shared" si="17"/>
        <v>267935</v>
      </c>
      <c r="AY55" s="134">
        <f>IF(N55="","",(AX55/AW55))</f>
        <v>0.17726430697982137</v>
      </c>
      <c r="AZ55" s="5"/>
      <c r="BA55" s="7">
        <f>COUNTA(M55,Z55,AM55)</f>
        <v>3</v>
      </c>
      <c r="BB55" s="7"/>
    </row>
    <row r="56" spans="1:54" ht="108">
      <c r="A56" s="105" t="s">
        <v>181</v>
      </c>
      <c r="B56" s="105" t="s">
        <v>241</v>
      </c>
      <c r="C56" s="105" t="s">
        <v>378</v>
      </c>
      <c r="D56" s="105" t="s">
        <v>387</v>
      </c>
      <c r="E56" s="106" t="s">
        <v>388</v>
      </c>
      <c r="F56" s="107" t="s">
        <v>185</v>
      </c>
      <c r="G56" s="108">
        <v>1</v>
      </c>
      <c r="H56" s="107" t="s">
        <v>288</v>
      </c>
      <c r="I56" s="109" t="s">
        <v>187</v>
      </c>
      <c r="J56" s="110">
        <v>46134</v>
      </c>
      <c r="K56" s="111" t="s">
        <v>277</v>
      </c>
      <c r="L56" s="112" t="s">
        <v>194</v>
      </c>
      <c r="M56" s="110" t="s">
        <v>278</v>
      </c>
      <c r="N56" s="113">
        <v>4590000</v>
      </c>
      <c r="O56" s="113" t="s">
        <v>198</v>
      </c>
      <c r="P56" s="113" t="s">
        <v>192</v>
      </c>
      <c r="Q56" s="114">
        <f>IF(O56="IVA Incluido",(N56/1.19),N56)</f>
        <v>4590000</v>
      </c>
      <c r="R56" s="115">
        <f>IF(P56="Si tiene IVA",Q56*19%,0)</f>
        <v>872100</v>
      </c>
      <c r="S56" s="115">
        <f>Q56+R56</f>
        <v>5462100</v>
      </c>
      <c r="T56" s="115">
        <f>IF(B56="","",(N56*G56))</f>
        <v>4590000</v>
      </c>
      <c r="U56" s="115">
        <f>IF(B56="","",(S56*G56))</f>
        <v>5462100</v>
      </c>
      <c r="V56" s="116" t="s">
        <v>187</v>
      </c>
      <c r="W56" s="117">
        <v>46134</v>
      </c>
      <c r="X56" s="118" t="s">
        <v>389</v>
      </c>
      <c r="Y56" s="119" t="s">
        <v>194</v>
      </c>
      <c r="Z56" s="120" t="s">
        <v>300</v>
      </c>
      <c r="AA56" s="121">
        <v>4550000</v>
      </c>
      <c r="AB56" s="121" t="s">
        <v>191</v>
      </c>
      <c r="AC56" s="121" t="s">
        <v>192</v>
      </c>
      <c r="AD56" s="122">
        <f>IF(AB56="IVA Incluido",(AA56/1.19),AA56)</f>
        <v>3823529.411764706</v>
      </c>
      <c r="AE56" s="123">
        <f>IF(AC56="Si tiene IVA",AD56*19%,0)</f>
        <v>726470.5882352941</v>
      </c>
      <c r="AF56" s="123">
        <f>AD56+AE56</f>
        <v>4550000</v>
      </c>
      <c r="AG56" s="123">
        <f>IF(O56="","",(AA56*G56))</f>
        <v>4550000</v>
      </c>
      <c r="AH56" s="123">
        <f>IF(O56="","",(AF56*G56))</f>
        <v>4550000</v>
      </c>
      <c r="AI56" s="124"/>
      <c r="AJ56" s="125"/>
      <c r="AK56" s="126"/>
      <c r="AL56" s="127"/>
      <c r="AM56" s="128"/>
      <c r="AN56" s="129"/>
      <c r="AO56" s="129"/>
      <c r="AP56" s="130"/>
      <c r="AQ56" s="131"/>
      <c r="AR56" s="132"/>
      <c r="AS56" s="132"/>
      <c r="AT56" s="132"/>
      <c r="AU56" s="132"/>
      <c r="AV56" s="133">
        <f t="shared" si="15"/>
        <v>5006050</v>
      </c>
      <c r="AW56" s="133">
        <f t="shared" si="16"/>
        <v>5006050</v>
      </c>
      <c r="AX56" s="133">
        <f t="shared" si="17"/>
        <v>644952</v>
      </c>
      <c r="AY56" s="134">
        <f>IF(N56="","",(AX56/AW56))</f>
        <v>0.12883451024260645</v>
      </c>
      <c r="AZ56" s="5"/>
      <c r="BA56" s="7">
        <f>COUNTA(M56,Z56,AM56)</f>
        <v>2</v>
      </c>
      <c r="BB56" s="7"/>
    </row>
    <row r="57" spans="1:54" ht="297">
      <c r="A57" s="105" t="s">
        <v>252</v>
      </c>
      <c r="B57" s="105" t="s">
        <v>252</v>
      </c>
      <c r="C57" s="105" t="s">
        <v>252</v>
      </c>
      <c r="D57" s="105" t="s">
        <v>390</v>
      </c>
      <c r="E57" s="106" t="s">
        <v>391</v>
      </c>
      <c r="F57" s="107" t="s">
        <v>255</v>
      </c>
      <c r="G57" s="108">
        <v>1</v>
      </c>
      <c r="H57" s="107"/>
      <c r="I57" s="109"/>
      <c r="J57" s="110"/>
      <c r="K57" s="111"/>
      <c r="L57" s="112"/>
      <c r="M57" s="110"/>
      <c r="N57" s="113"/>
      <c r="O57" s="113"/>
      <c r="P57" s="113"/>
      <c r="Q57" s="114" t="s">
        <v>256</v>
      </c>
      <c r="R57" s="115" t="s">
        <v>256</v>
      </c>
      <c r="S57" s="115" t="s">
        <v>256</v>
      </c>
      <c r="T57" s="115" t="s">
        <v>256</v>
      </c>
      <c r="U57" s="115" t="s">
        <v>256</v>
      </c>
      <c r="V57" s="116" t="s">
        <v>252</v>
      </c>
      <c r="W57" s="117" t="s">
        <v>252</v>
      </c>
      <c r="X57" s="118" t="s">
        <v>252</v>
      </c>
      <c r="Y57" s="119" t="s">
        <v>252</v>
      </c>
      <c r="Z57" s="120" t="s">
        <v>257</v>
      </c>
      <c r="AA57" s="121" t="s">
        <v>252</v>
      </c>
      <c r="AB57" s="121" t="s">
        <v>252</v>
      </c>
      <c r="AC57" s="121" t="s">
        <v>252</v>
      </c>
      <c r="AD57" s="122" t="s">
        <v>252</v>
      </c>
      <c r="AE57" s="123" t="s">
        <v>252</v>
      </c>
      <c r="AF57" s="123">
        <f>AH57/1.19</f>
        <v>2692327.7310924372</v>
      </c>
      <c r="AG57" s="123">
        <f>AF57*19%</f>
        <v>511542.26890756306</v>
      </c>
      <c r="AH57" s="123">
        <v>3203870</v>
      </c>
      <c r="AI57" s="124" t="s">
        <v>252</v>
      </c>
      <c r="AJ57" s="125" t="s">
        <v>252</v>
      </c>
      <c r="AK57" s="126" t="s">
        <v>252</v>
      </c>
      <c r="AL57" s="127" t="s">
        <v>252</v>
      </c>
      <c r="AM57" s="128" t="s">
        <v>258</v>
      </c>
      <c r="AN57" s="129" t="s">
        <v>252</v>
      </c>
      <c r="AO57" s="129" t="s">
        <v>252</v>
      </c>
      <c r="AP57" s="130" t="s">
        <v>252</v>
      </c>
      <c r="AQ57" s="131">
        <v>2601529</v>
      </c>
      <c r="AR57" s="132">
        <v>494290</v>
      </c>
      <c r="AS57" s="132">
        <v>3095819</v>
      </c>
      <c r="AT57" s="132">
        <v>2601529</v>
      </c>
      <c r="AU57" s="132">
        <v>3095819</v>
      </c>
      <c r="AV57" s="133">
        <f t="shared" si="15"/>
        <v>2894073</v>
      </c>
      <c r="AW57" s="133">
        <f t="shared" si="16"/>
        <v>2894073</v>
      </c>
      <c r="AX57" s="133" t="str">
        <f t="shared" si="17"/>
        <v/>
      </c>
      <c r="AY57" s="134">
        <v>2.4299999999999999E-2</v>
      </c>
      <c r="AZ57" s="5"/>
      <c r="BA57" s="7"/>
      <c r="BB57" s="7"/>
    </row>
    <row r="58" spans="1:54" ht="54">
      <c r="A58" s="105" t="s">
        <v>181</v>
      </c>
      <c r="B58" s="105" t="s">
        <v>241</v>
      </c>
      <c r="C58" s="105" t="s">
        <v>378</v>
      </c>
      <c r="D58" s="105" t="s">
        <v>392</v>
      </c>
      <c r="E58" s="106" t="s">
        <v>393</v>
      </c>
      <c r="F58" s="107" t="s">
        <v>185</v>
      </c>
      <c r="G58" s="108">
        <v>1</v>
      </c>
      <c r="H58" s="107" t="s">
        <v>288</v>
      </c>
      <c r="I58" s="109" t="s">
        <v>381</v>
      </c>
      <c r="J58" s="110">
        <v>46056</v>
      </c>
      <c r="K58" s="111" t="s">
        <v>382</v>
      </c>
      <c r="L58" s="112" t="s">
        <v>194</v>
      </c>
      <c r="M58" s="110" t="s">
        <v>278</v>
      </c>
      <c r="N58" s="113">
        <v>1650000</v>
      </c>
      <c r="O58" s="113" t="s">
        <v>198</v>
      </c>
      <c r="P58" s="113" t="s">
        <v>192</v>
      </c>
      <c r="Q58" s="114">
        <f>IF(O58="IVA Incluido",(N58/1.19),N58)</f>
        <v>1650000</v>
      </c>
      <c r="R58" s="115">
        <f>IF(P58="Si tiene IVA",Q58*19%,0)</f>
        <v>313500</v>
      </c>
      <c r="S58" s="115">
        <f>Q58+R58</f>
        <v>1963500</v>
      </c>
      <c r="T58" s="115">
        <f>IF(B58="","",(N58*G58))</f>
        <v>1650000</v>
      </c>
      <c r="U58" s="115">
        <f>IF(B58="","",(S58*G58))</f>
        <v>1963500</v>
      </c>
      <c r="V58" s="116" t="s">
        <v>394</v>
      </c>
      <c r="W58" s="117">
        <v>46070</v>
      </c>
      <c r="X58" s="118" t="s">
        <v>383</v>
      </c>
      <c r="Y58" s="119" t="s">
        <v>194</v>
      </c>
      <c r="Z58" s="120" t="s">
        <v>384</v>
      </c>
      <c r="AA58" s="121">
        <v>2000000</v>
      </c>
      <c r="AB58" s="121" t="s">
        <v>198</v>
      </c>
      <c r="AC58" s="121" t="s">
        <v>192</v>
      </c>
      <c r="AD58" s="122">
        <f>IF(AB58="IVA Incluido",(AA58/1.19),AA58)</f>
        <v>2000000</v>
      </c>
      <c r="AE58" s="123">
        <f>IF(AC58="Si tiene IVA",AD58*19%,0)</f>
        <v>380000</v>
      </c>
      <c r="AF58" s="123">
        <f>AD58+AE58</f>
        <v>2380000</v>
      </c>
      <c r="AG58" s="123">
        <f>IF(O58="","",(AA58*G58))</f>
        <v>2000000</v>
      </c>
      <c r="AH58" s="123">
        <f>IF(O58="","",(AF58*G58))</f>
        <v>2380000</v>
      </c>
      <c r="AI58" s="124" t="s">
        <v>381</v>
      </c>
      <c r="AJ58" s="125">
        <v>46105</v>
      </c>
      <c r="AK58" s="126" t="s">
        <v>371</v>
      </c>
      <c r="AL58" s="127" t="s">
        <v>194</v>
      </c>
      <c r="AM58" s="128" t="s">
        <v>372</v>
      </c>
      <c r="AN58" s="129">
        <v>1680672</v>
      </c>
      <c r="AO58" s="129" t="s">
        <v>198</v>
      </c>
      <c r="AP58" s="130" t="s">
        <v>192</v>
      </c>
      <c r="AQ58" s="131">
        <f>IF(AO58="IVA Incluido",(AN58/1.19),AN58)</f>
        <v>1680672</v>
      </c>
      <c r="AR58" s="132">
        <f>IF(AP58="Si tiene IVA",AQ58*19%,0)</f>
        <v>319327.68</v>
      </c>
      <c r="AS58" s="132">
        <f>AQ58+AR58</f>
        <v>1999999.68</v>
      </c>
      <c r="AT58" s="132">
        <f>IF(AB58="","",(AN58*G58))</f>
        <v>1680672</v>
      </c>
      <c r="AU58" s="132">
        <f>IF(AB58="","",(AS58*G58))</f>
        <v>1999999.68</v>
      </c>
      <c r="AV58" s="133">
        <f t="shared" si="15"/>
        <v>2114500</v>
      </c>
      <c r="AW58" s="133">
        <f t="shared" si="16"/>
        <v>2114500</v>
      </c>
      <c r="AX58" s="133">
        <f t="shared" si="17"/>
        <v>230653</v>
      </c>
      <c r="AY58" s="134">
        <f>IF(N58="","",(AX58/AW58))</f>
        <v>0.10908157956963821</v>
      </c>
      <c r="AZ58" s="5"/>
      <c r="BA58" s="7">
        <f>COUNTA(M58,Z58,AM58)</f>
        <v>3</v>
      </c>
      <c r="BB58" s="7"/>
    </row>
    <row r="59" spans="1:54" ht="54">
      <c r="A59" s="105" t="s">
        <v>181</v>
      </c>
      <c r="B59" s="105" t="s">
        <v>241</v>
      </c>
      <c r="C59" s="105" t="s">
        <v>378</v>
      </c>
      <c r="D59" s="105" t="s">
        <v>395</v>
      </c>
      <c r="E59" s="106" t="s">
        <v>396</v>
      </c>
      <c r="F59" s="107" t="s">
        <v>185</v>
      </c>
      <c r="G59" s="108">
        <v>1</v>
      </c>
      <c r="H59" s="107" t="s">
        <v>288</v>
      </c>
      <c r="I59" s="109" t="s">
        <v>381</v>
      </c>
      <c r="J59" s="110">
        <v>46056</v>
      </c>
      <c r="K59" s="111" t="s">
        <v>382</v>
      </c>
      <c r="L59" s="112" t="s">
        <v>194</v>
      </c>
      <c r="M59" s="110" t="s">
        <v>278</v>
      </c>
      <c r="N59" s="113">
        <v>1650000</v>
      </c>
      <c r="O59" s="113" t="s">
        <v>198</v>
      </c>
      <c r="P59" s="113" t="s">
        <v>192</v>
      </c>
      <c r="Q59" s="114">
        <f>IF(O59="IVA Incluido",(N59/1.19),N59)</f>
        <v>1650000</v>
      </c>
      <c r="R59" s="115">
        <f>IF(P59="Si tiene IVA",Q59*19%,0)</f>
        <v>313500</v>
      </c>
      <c r="S59" s="115">
        <f>Q59+R59</f>
        <v>1963500</v>
      </c>
      <c r="T59" s="115">
        <f>IF(B59="","",(N59*G59))</f>
        <v>1650000</v>
      </c>
      <c r="U59" s="115">
        <f>IF(B59="","",(S59*G59))</f>
        <v>1963500</v>
      </c>
      <c r="V59" s="116" t="s">
        <v>381</v>
      </c>
      <c r="W59" s="117">
        <v>46070</v>
      </c>
      <c r="X59" s="118" t="s">
        <v>383</v>
      </c>
      <c r="Y59" s="119" t="s">
        <v>194</v>
      </c>
      <c r="Z59" s="120" t="s">
        <v>384</v>
      </c>
      <c r="AA59" s="121">
        <v>2000000</v>
      </c>
      <c r="AB59" s="121" t="s">
        <v>198</v>
      </c>
      <c r="AC59" s="121" t="s">
        <v>192</v>
      </c>
      <c r="AD59" s="122">
        <f>IF(AB59="IVA Incluido",(AA59/1.19),AA59)</f>
        <v>2000000</v>
      </c>
      <c r="AE59" s="123">
        <f>IF(AC59="Si tiene IVA",AD59*19%,0)</f>
        <v>380000</v>
      </c>
      <c r="AF59" s="123">
        <f>AD59+AE59</f>
        <v>2380000</v>
      </c>
      <c r="AG59" s="123">
        <f>IF(AB59="","",(AA59*G59))</f>
        <v>2000000</v>
      </c>
      <c r="AH59" s="123">
        <f>IF(O59="","",(AF59*G59))</f>
        <v>2380000</v>
      </c>
      <c r="AI59" s="124" t="s">
        <v>381</v>
      </c>
      <c r="AJ59" s="125">
        <v>46105</v>
      </c>
      <c r="AK59" s="126" t="s">
        <v>371</v>
      </c>
      <c r="AL59" s="127" t="s">
        <v>194</v>
      </c>
      <c r="AM59" s="128" t="s">
        <v>372</v>
      </c>
      <c r="AN59" s="129">
        <v>1680672</v>
      </c>
      <c r="AO59" s="129" t="s">
        <v>198</v>
      </c>
      <c r="AP59" s="130" t="s">
        <v>192</v>
      </c>
      <c r="AQ59" s="131">
        <f>IF(AO59="IVA Incluido",(AN59/1.19),AN59)</f>
        <v>1680672</v>
      </c>
      <c r="AR59" s="132">
        <f>IF(AP59="Si tiene IVA",AQ59*19%,0)</f>
        <v>319327.68</v>
      </c>
      <c r="AS59" s="132">
        <f>AQ59+AR59</f>
        <v>1999999.68</v>
      </c>
      <c r="AT59" s="132">
        <f>IF(AB59="","",(AN59*G59))</f>
        <v>1680672</v>
      </c>
      <c r="AU59" s="132">
        <f>IF(AB59="","",(AS59*G59))</f>
        <v>1999999.68</v>
      </c>
      <c r="AV59" s="133">
        <f t="shared" si="15"/>
        <v>2114500</v>
      </c>
      <c r="AW59" s="133">
        <f t="shared" si="16"/>
        <v>2114500</v>
      </c>
      <c r="AX59" s="133">
        <f t="shared" si="17"/>
        <v>230653</v>
      </c>
      <c r="AY59" s="134">
        <f>IF(N59="","",(AX59/AW59))</f>
        <v>0.10908157956963821</v>
      </c>
      <c r="AZ59" s="5"/>
      <c r="BA59" s="7">
        <f>COUNTA(M59,Z59,AM59)</f>
        <v>3</v>
      </c>
      <c r="BB59" s="7"/>
    </row>
    <row r="60" spans="1:54" ht="175.5">
      <c r="A60" s="105" t="s">
        <v>181</v>
      </c>
      <c r="B60" s="105" t="s">
        <v>241</v>
      </c>
      <c r="C60" s="105" t="s">
        <v>378</v>
      </c>
      <c r="D60" s="105" t="s">
        <v>397</v>
      </c>
      <c r="E60" s="106" t="s">
        <v>398</v>
      </c>
      <c r="F60" s="107" t="s">
        <v>185</v>
      </c>
      <c r="G60" s="108">
        <v>1</v>
      </c>
      <c r="H60" s="107" t="s">
        <v>288</v>
      </c>
      <c r="I60" s="109" t="s">
        <v>381</v>
      </c>
      <c r="J60" s="110">
        <v>46056</v>
      </c>
      <c r="K60" s="111" t="s">
        <v>382</v>
      </c>
      <c r="L60" s="112" t="s">
        <v>194</v>
      </c>
      <c r="M60" s="110" t="s">
        <v>278</v>
      </c>
      <c r="N60" s="113">
        <v>2150000</v>
      </c>
      <c r="O60" s="113" t="s">
        <v>198</v>
      </c>
      <c r="P60" s="113" t="s">
        <v>192</v>
      </c>
      <c r="Q60" s="114">
        <f>IF(O60="IVA Incluido",(N60/1.19),N60)</f>
        <v>2150000</v>
      </c>
      <c r="R60" s="115">
        <f>IF(P60="Si tiene IVA",Q60*19%,0)</f>
        <v>408500</v>
      </c>
      <c r="S60" s="115">
        <f>Q60+R60</f>
        <v>2558500</v>
      </c>
      <c r="T60" s="115">
        <f>IF(B60="","",(N60*G60))</f>
        <v>2150000</v>
      </c>
      <c r="U60" s="115">
        <f>IF(B60="","",(S60*G60))</f>
        <v>2558500</v>
      </c>
      <c r="V60" s="116" t="s">
        <v>381</v>
      </c>
      <c r="W60" s="117">
        <v>46070</v>
      </c>
      <c r="X60" s="118" t="s">
        <v>383</v>
      </c>
      <c r="Y60" s="119" t="s">
        <v>194</v>
      </c>
      <c r="Z60" s="120" t="s">
        <v>384</v>
      </c>
      <c r="AA60" s="121">
        <v>3000000</v>
      </c>
      <c r="AB60" s="121" t="s">
        <v>198</v>
      </c>
      <c r="AC60" s="121" t="s">
        <v>192</v>
      </c>
      <c r="AD60" s="122">
        <f>IF(AB60="IVA Incluido",(AA60/1.19),AA60)</f>
        <v>3000000</v>
      </c>
      <c r="AE60" s="123">
        <f>IF(AC60="Si tiene IVA",AD60*19%,0)</f>
        <v>570000</v>
      </c>
      <c r="AF60" s="123">
        <f>AD60+AE60</f>
        <v>3570000</v>
      </c>
      <c r="AG60" s="123">
        <f>IF(AB60="","",(AA60*G60))</f>
        <v>3000000</v>
      </c>
      <c r="AH60" s="123">
        <f>IF(AB60="","",(AF60*G60))</f>
        <v>3570000</v>
      </c>
      <c r="AI60" s="124" t="s">
        <v>381</v>
      </c>
      <c r="AJ60" s="125">
        <v>46105</v>
      </c>
      <c r="AK60" s="126" t="s">
        <v>371</v>
      </c>
      <c r="AL60" s="127" t="s">
        <v>194</v>
      </c>
      <c r="AM60" s="128" t="s">
        <v>372</v>
      </c>
      <c r="AN60" s="129">
        <v>2521008</v>
      </c>
      <c r="AO60" s="129" t="s">
        <v>198</v>
      </c>
      <c r="AP60" s="130" t="s">
        <v>192</v>
      </c>
      <c r="AQ60" s="131">
        <f>IF(AO60="IVA Incluido",(AN60/1.19),AN60)</f>
        <v>2521008</v>
      </c>
      <c r="AR60" s="132">
        <f>IF(AP60="Si tiene IVA",AQ60*19%,0)</f>
        <v>478991.52</v>
      </c>
      <c r="AS60" s="132">
        <f>AQ60+AR60</f>
        <v>2999999.52</v>
      </c>
      <c r="AT60" s="132">
        <f>IF(AB60="","",(AN60*G60))</f>
        <v>2521008</v>
      </c>
      <c r="AU60" s="132">
        <f>IF(AB60="","",(AS60*G60))</f>
        <v>2999999.52</v>
      </c>
      <c r="AV60" s="133">
        <f t="shared" si="15"/>
        <v>3042833</v>
      </c>
      <c r="AW60" s="133">
        <f t="shared" si="16"/>
        <v>3042833</v>
      </c>
      <c r="AX60" s="133">
        <f t="shared" si="17"/>
        <v>507109</v>
      </c>
      <c r="AY60" s="134">
        <f>IF(N60="","",(AX60/AW60))</f>
        <v>0.16665686220702877</v>
      </c>
      <c r="AZ60" s="5"/>
      <c r="BA60" s="7">
        <f>COUNTA(M60,Z60,AM60)</f>
        <v>3</v>
      </c>
      <c r="BB60" s="7"/>
    </row>
    <row r="61" spans="1:54" ht="297">
      <c r="A61" s="105" t="s">
        <v>252</v>
      </c>
      <c r="B61" s="105" t="s">
        <v>252</v>
      </c>
      <c r="C61" s="105" t="s">
        <v>252</v>
      </c>
      <c r="D61" s="105" t="s">
        <v>399</v>
      </c>
      <c r="E61" s="106" t="s">
        <v>400</v>
      </c>
      <c r="F61" s="107" t="s">
        <v>255</v>
      </c>
      <c r="G61" s="108">
        <v>1</v>
      </c>
      <c r="H61" s="107"/>
      <c r="I61" s="109"/>
      <c r="J61" s="110"/>
      <c r="K61" s="111"/>
      <c r="L61" s="112"/>
      <c r="M61" s="110"/>
      <c r="N61" s="113"/>
      <c r="O61" s="113"/>
      <c r="P61" s="113"/>
      <c r="Q61" s="114" t="s">
        <v>256</v>
      </c>
      <c r="R61" s="115" t="s">
        <v>256</v>
      </c>
      <c r="S61" s="115" t="s">
        <v>256</v>
      </c>
      <c r="T61" s="115" t="s">
        <v>256</v>
      </c>
      <c r="U61" s="115" t="s">
        <v>256</v>
      </c>
      <c r="V61" s="116" t="s">
        <v>252</v>
      </c>
      <c r="W61" s="117" t="s">
        <v>252</v>
      </c>
      <c r="X61" s="118" t="s">
        <v>252</v>
      </c>
      <c r="Y61" s="119" t="s">
        <v>252</v>
      </c>
      <c r="Z61" s="120" t="s">
        <v>257</v>
      </c>
      <c r="AA61" s="121" t="s">
        <v>252</v>
      </c>
      <c r="AB61" s="121" t="s">
        <v>252</v>
      </c>
      <c r="AC61" s="121" t="s">
        <v>252</v>
      </c>
      <c r="AD61" s="122" t="s">
        <v>252</v>
      </c>
      <c r="AE61" s="123" t="s">
        <v>252</v>
      </c>
      <c r="AF61" s="123">
        <f>AH61/1.19</f>
        <v>4425640.3361344542</v>
      </c>
      <c r="AG61" s="123">
        <f>AF61*19%</f>
        <v>840871.66386554635</v>
      </c>
      <c r="AH61" s="123">
        <v>5266512</v>
      </c>
      <c r="AI61" s="124" t="s">
        <v>252</v>
      </c>
      <c r="AJ61" s="125" t="s">
        <v>252</v>
      </c>
      <c r="AK61" s="126" t="s">
        <v>252</v>
      </c>
      <c r="AL61" s="127" t="s">
        <v>252</v>
      </c>
      <c r="AM61" s="128" t="s">
        <v>258</v>
      </c>
      <c r="AN61" s="129" t="s">
        <v>252</v>
      </c>
      <c r="AO61" s="129" t="s">
        <v>252</v>
      </c>
      <c r="AP61" s="130" t="s">
        <v>252</v>
      </c>
      <c r="AQ61" s="131">
        <v>4276386</v>
      </c>
      <c r="AR61" s="132">
        <v>812513</v>
      </c>
      <c r="AS61" s="132">
        <v>5088899</v>
      </c>
      <c r="AT61" s="132">
        <v>4276386</v>
      </c>
      <c r="AU61" s="132">
        <v>5088899</v>
      </c>
      <c r="AV61" s="133">
        <f t="shared" si="15"/>
        <v>4757270</v>
      </c>
      <c r="AW61" s="133">
        <f t="shared" si="16"/>
        <v>4757270</v>
      </c>
      <c r="AX61" s="133" t="str">
        <f t="shared" si="17"/>
        <v/>
      </c>
      <c r="AY61" s="134">
        <v>2.4299999999999999E-2</v>
      </c>
      <c r="AZ61" s="5"/>
      <c r="BA61" s="7"/>
      <c r="BB61" s="7"/>
    </row>
    <row r="62" spans="1:54" ht="297">
      <c r="A62" s="105" t="s">
        <v>252</v>
      </c>
      <c r="B62" s="105" t="s">
        <v>252</v>
      </c>
      <c r="C62" s="105" t="s">
        <v>252</v>
      </c>
      <c r="D62" s="105" t="s">
        <v>401</v>
      </c>
      <c r="E62" s="106" t="s">
        <v>402</v>
      </c>
      <c r="F62" s="107" t="s">
        <v>255</v>
      </c>
      <c r="G62" s="108">
        <v>1</v>
      </c>
      <c r="H62" s="107"/>
      <c r="I62" s="109"/>
      <c r="J62" s="110"/>
      <c r="K62" s="111"/>
      <c r="L62" s="112"/>
      <c r="M62" s="110"/>
      <c r="N62" s="113"/>
      <c r="O62" s="113"/>
      <c r="P62" s="113"/>
      <c r="Q62" s="114" t="s">
        <v>256</v>
      </c>
      <c r="R62" s="115" t="s">
        <v>256</v>
      </c>
      <c r="S62" s="115" t="s">
        <v>256</v>
      </c>
      <c r="T62" s="115" t="s">
        <v>256</v>
      </c>
      <c r="U62" s="115" t="s">
        <v>256</v>
      </c>
      <c r="V62" s="116" t="s">
        <v>252</v>
      </c>
      <c r="W62" s="117" t="s">
        <v>252</v>
      </c>
      <c r="X62" s="118" t="s">
        <v>252</v>
      </c>
      <c r="Y62" s="119" t="s">
        <v>252</v>
      </c>
      <c r="Z62" s="120" t="s">
        <v>257</v>
      </c>
      <c r="AA62" s="121" t="s">
        <v>252</v>
      </c>
      <c r="AB62" s="121" t="s">
        <v>252</v>
      </c>
      <c r="AC62" s="121" t="s">
        <v>252</v>
      </c>
      <c r="AD62" s="122" t="s">
        <v>252</v>
      </c>
      <c r="AE62" s="123" t="s">
        <v>252</v>
      </c>
      <c r="AF62" s="123">
        <f>AH62/1.19</f>
        <v>4790127.7310924372</v>
      </c>
      <c r="AG62" s="123">
        <f>AF62*19%</f>
        <v>910124.26890756306</v>
      </c>
      <c r="AH62" s="123">
        <v>5700252</v>
      </c>
      <c r="AI62" s="124" t="s">
        <v>252</v>
      </c>
      <c r="AJ62" s="125" t="s">
        <v>252</v>
      </c>
      <c r="AK62" s="126" t="s">
        <v>252</v>
      </c>
      <c r="AL62" s="127" t="s">
        <v>252</v>
      </c>
      <c r="AM62" s="128" t="s">
        <v>258</v>
      </c>
      <c r="AN62" s="129" t="s">
        <v>252</v>
      </c>
      <c r="AO62" s="129" t="s">
        <v>252</v>
      </c>
      <c r="AP62" s="130" t="s">
        <v>252</v>
      </c>
      <c r="AQ62" s="131">
        <v>4628581</v>
      </c>
      <c r="AR62" s="132">
        <v>879430</v>
      </c>
      <c r="AS62" s="132">
        <v>5508011</v>
      </c>
      <c r="AT62" s="132">
        <v>4628581</v>
      </c>
      <c r="AU62" s="132">
        <v>5508011</v>
      </c>
      <c r="AV62" s="133">
        <f t="shared" si="15"/>
        <v>5149069</v>
      </c>
      <c r="AW62" s="133">
        <f t="shared" si="16"/>
        <v>5149069</v>
      </c>
      <c r="AX62" s="133" t="str">
        <f t="shared" si="17"/>
        <v/>
      </c>
      <c r="AY62" s="134">
        <v>2.4299999999999999E-2</v>
      </c>
      <c r="AZ62" s="5"/>
      <c r="BA62" s="7"/>
      <c r="BB62" s="7"/>
    </row>
    <row r="63" spans="1:54" ht="297">
      <c r="A63" s="105" t="s">
        <v>252</v>
      </c>
      <c r="B63" s="105" t="s">
        <v>252</v>
      </c>
      <c r="C63" s="105" t="s">
        <v>252</v>
      </c>
      <c r="D63" s="105" t="s">
        <v>403</v>
      </c>
      <c r="E63" s="106" t="s">
        <v>404</v>
      </c>
      <c r="F63" s="107" t="s">
        <v>255</v>
      </c>
      <c r="G63" s="108">
        <v>1</v>
      </c>
      <c r="H63" s="107"/>
      <c r="I63" s="109"/>
      <c r="J63" s="110"/>
      <c r="K63" s="111"/>
      <c r="L63" s="112"/>
      <c r="M63" s="110"/>
      <c r="N63" s="113"/>
      <c r="O63" s="113"/>
      <c r="P63" s="113"/>
      <c r="Q63" s="114" t="s">
        <v>256</v>
      </c>
      <c r="R63" s="115" t="s">
        <v>256</v>
      </c>
      <c r="S63" s="115" t="s">
        <v>256</v>
      </c>
      <c r="T63" s="115" t="s">
        <v>256</v>
      </c>
      <c r="U63" s="115" t="s">
        <v>256</v>
      </c>
      <c r="V63" s="116" t="s">
        <v>252</v>
      </c>
      <c r="W63" s="117" t="s">
        <v>252</v>
      </c>
      <c r="X63" s="118" t="s">
        <v>252</v>
      </c>
      <c r="Y63" s="119" t="s">
        <v>252</v>
      </c>
      <c r="Z63" s="120" t="s">
        <v>257</v>
      </c>
      <c r="AA63" s="121" t="s">
        <v>252</v>
      </c>
      <c r="AB63" s="121" t="s">
        <v>252</v>
      </c>
      <c r="AC63" s="121" t="s">
        <v>252</v>
      </c>
      <c r="AD63" s="122" t="s">
        <v>252</v>
      </c>
      <c r="AE63" s="123" t="s">
        <v>252</v>
      </c>
      <c r="AF63" s="123">
        <f>AH63/1.19</f>
        <v>6741667.2268907567</v>
      </c>
      <c r="AG63" s="123">
        <f>AF63*19%</f>
        <v>1280916.7731092437</v>
      </c>
      <c r="AH63" s="123">
        <v>8022584</v>
      </c>
      <c r="AI63" s="124" t="s">
        <v>252</v>
      </c>
      <c r="AJ63" s="125" t="s">
        <v>252</v>
      </c>
      <c r="AK63" s="126" t="s">
        <v>252</v>
      </c>
      <c r="AL63" s="127" t="s">
        <v>252</v>
      </c>
      <c r="AM63" s="128" t="s">
        <v>258</v>
      </c>
      <c r="AN63" s="129" t="s">
        <v>252</v>
      </c>
      <c r="AO63" s="129" t="s">
        <v>252</v>
      </c>
      <c r="AP63" s="130" t="s">
        <v>252</v>
      </c>
      <c r="AQ63" s="131">
        <v>6705902</v>
      </c>
      <c r="AR63" s="132">
        <v>1274121</v>
      </c>
      <c r="AS63" s="132">
        <v>7980024</v>
      </c>
      <c r="AT63" s="132">
        <v>6705902</v>
      </c>
      <c r="AU63" s="132">
        <v>7980024</v>
      </c>
      <c r="AV63" s="133">
        <f t="shared" si="15"/>
        <v>7360846</v>
      </c>
      <c r="AW63" s="133">
        <f t="shared" si="16"/>
        <v>7360846</v>
      </c>
      <c r="AX63" s="133" t="str">
        <f t="shared" si="17"/>
        <v/>
      </c>
      <c r="AY63" s="134">
        <v>3.8E-3</v>
      </c>
      <c r="AZ63" s="5"/>
      <c r="BA63" s="7"/>
      <c r="BB63" s="7"/>
    </row>
    <row r="64" spans="1:54" ht="297">
      <c r="A64" s="105" t="s">
        <v>252</v>
      </c>
      <c r="B64" s="105" t="s">
        <v>252</v>
      </c>
      <c r="C64" s="105" t="s">
        <v>252</v>
      </c>
      <c r="D64" s="105" t="s">
        <v>405</v>
      </c>
      <c r="E64" s="106" t="s">
        <v>406</v>
      </c>
      <c r="F64" s="107" t="s">
        <v>255</v>
      </c>
      <c r="G64" s="108">
        <v>1</v>
      </c>
      <c r="H64" s="107"/>
      <c r="I64" s="109"/>
      <c r="J64" s="110"/>
      <c r="K64" s="111"/>
      <c r="L64" s="112"/>
      <c r="M64" s="110"/>
      <c r="N64" s="113"/>
      <c r="O64" s="113"/>
      <c r="P64" s="113"/>
      <c r="Q64" s="114" t="s">
        <v>256</v>
      </c>
      <c r="R64" s="115" t="s">
        <v>256</v>
      </c>
      <c r="S64" s="115" t="s">
        <v>256</v>
      </c>
      <c r="T64" s="115" t="s">
        <v>256</v>
      </c>
      <c r="U64" s="115" t="s">
        <v>256</v>
      </c>
      <c r="V64" s="116" t="s">
        <v>252</v>
      </c>
      <c r="W64" s="117" t="s">
        <v>252</v>
      </c>
      <c r="X64" s="118" t="s">
        <v>252</v>
      </c>
      <c r="Y64" s="119" t="s">
        <v>252</v>
      </c>
      <c r="Z64" s="120" t="s">
        <v>257</v>
      </c>
      <c r="AA64" s="121" t="s">
        <v>252</v>
      </c>
      <c r="AB64" s="121" t="s">
        <v>252</v>
      </c>
      <c r="AC64" s="121" t="s">
        <v>252</v>
      </c>
      <c r="AD64" s="122" t="s">
        <v>252</v>
      </c>
      <c r="AE64" s="123" t="s">
        <v>252</v>
      </c>
      <c r="AF64" s="123">
        <f>AH64/1.19</f>
        <v>88516.806722689085</v>
      </c>
      <c r="AG64" s="123">
        <f>AF64*19%</f>
        <v>16818.193277310926</v>
      </c>
      <c r="AH64" s="123">
        <v>105335</v>
      </c>
      <c r="AI64" s="124" t="s">
        <v>252</v>
      </c>
      <c r="AJ64" s="125" t="s">
        <v>252</v>
      </c>
      <c r="AK64" s="126" t="s">
        <v>252</v>
      </c>
      <c r="AL64" s="127" t="s">
        <v>252</v>
      </c>
      <c r="AM64" s="128" t="s">
        <v>258</v>
      </c>
      <c r="AN64" s="129" t="s">
        <v>252</v>
      </c>
      <c r="AO64" s="129" t="s">
        <v>252</v>
      </c>
      <c r="AP64" s="130" t="s">
        <v>252</v>
      </c>
      <c r="AQ64" s="131">
        <v>85532</v>
      </c>
      <c r="AR64" s="132">
        <v>16251</v>
      </c>
      <c r="AS64" s="132">
        <v>101783</v>
      </c>
      <c r="AT64" s="132">
        <v>85532</v>
      </c>
      <c r="AU64" s="132">
        <v>101783</v>
      </c>
      <c r="AV64" s="133">
        <f t="shared" si="15"/>
        <v>95150</v>
      </c>
      <c r="AW64" s="133">
        <f t="shared" si="16"/>
        <v>95150</v>
      </c>
      <c r="AX64" s="133" t="str">
        <f t="shared" si="17"/>
        <v/>
      </c>
      <c r="AY64" s="134">
        <v>2.4299999999999999E-2</v>
      </c>
      <c r="AZ64" s="5"/>
      <c r="BA64" s="7"/>
      <c r="BB64" s="7"/>
    </row>
    <row r="65" spans="1:54" ht="94.5">
      <c r="A65" s="105" t="s">
        <v>181</v>
      </c>
      <c r="B65" s="105" t="s">
        <v>241</v>
      </c>
      <c r="C65" s="105" t="s">
        <v>285</v>
      </c>
      <c r="D65" s="105" t="s">
        <v>407</v>
      </c>
      <c r="E65" s="106" t="s">
        <v>408</v>
      </c>
      <c r="F65" s="107" t="s">
        <v>185</v>
      </c>
      <c r="G65" s="108">
        <v>1</v>
      </c>
      <c r="H65" s="107" t="s">
        <v>288</v>
      </c>
      <c r="I65" s="109" t="s">
        <v>381</v>
      </c>
      <c r="J65" s="110">
        <v>46071</v>
      </c>
      <c r="K65" s="111" t="s">
        <v>289</v>
      </c>
      <c r="L65" s="112" t="s">
        <v>194</v>
      </c>
      <c r="M65" s="110" t="s">
        <v>290</v>
      </c>
      <c r="N65" s="113">
        <v>3280000</v>
      </c>
      <c r="O65" s="113" t="s">
        <v>198</v>
      </c>
      <c r="P65" s="113" t="s">
        <v>192</v>
      </c>
      <c r="Q65" s="114">
        <f>IF(O65="IVA Incluido",(N65/1.19),N65)</f>
        <v>3280000</v>
      </c>
      <c r="R65" s="115">
        <f>IF(P65="Si tiene IVA",Q65*19%,0)</f>
        <v>623200</v>
      </c>
      <c r="S65" s="115">
        <f>Q65+R65</f>
        <v>3903200</v>
      </c>
      <c r="T65" s="115">
        <f>IF(B65="","",(N65*G65))</f>
        <v>3280000</v>
      </c>
      <c r="U65" s="115">
        <f>IF(B65="","",(S65*G65))</f>
        <v>3903200</v>
      </c>
      <c r="V65" s="116" t="s">
        <v>373</v>
      </c>
      <c r="W65" s="117">
        <v>46071</v>
      </c>
      <c r="X65" s="118" t="s">
        <v>291</v>
      </c>
      <c r="Y65" s="119" t="s">
        <v>194</v>
      </c>
      <c r="Z65" s="120" t="s">
        <v>292</v>
      </c>
      <c r="AA65" s="121">
        <v>5000000</v>
      </c>
      <c r="AB65" s="121" t="s">
        <v>198</v>
      </c>
      <c r="AC65" s="121" t="s">
        <v>192</v>
      </c>
      <c r="AD65" s="122">
        <f>IF(AB65="IVA Incluido",(AA65/1.19),AA65)</f>
        <v>5000000</v>
      </c>
      <c r="AE65" s="123">
        <f>IF(AC65="Si tiene IVA",AD65*19%,0)</f>
        <v>950000</v>
      </c>
      <c r="AF65" s="123">
        <f>AD65+AE65</f>
        <v>5950000</v>
      </c>
      <c r="AG65" s="123">
        <f>IF(O65="","",(AA65*G65))</f>
        <v>5000000</v>
      </c>
      <c r="AH65" s="123">
        <f>IF(O65="","",(AF65*G65))</f>
        <v>5950000</v>
      </c>
      <c r="AI65" s="124" t="s">
        <v>373</v>
      </c>
      <c r="AJ65" s="125">
        <v>46071</v>
      </c>
      <c r="AK65" s="126" t="s">
        <v>293</v>
      </c>
      <c r="AL65" s="127" t="s">
        <v>194</v>
      </c>
      <c r="AM65" s="128" t="s">
        <v>294</v>
      </c>
      <c r="AN65" s="129">
        <v>4200000</v>
      </c>
      <c r="AO65" s="129" t="s">
        <v>198</v>
      </c>
      <c r="AP65" s="130" t="s">
        <v>192</v>
      </c>
      <c r="AQ65" s="131">
        <f>IF(AO65="IVA Incluido",(AN65/1.19),AN65)</f>
        <v>4200000</v>
      </c>
      <c r="AR65" s="132">
        <f>IF(AP65="Si tiene IVA",AQ65*19%,0)</f>
        <v>798000</v>
      </c>
      <c r="AS65" s="132">
        <f>AQ65+AR65</f>
        <v>4998000</v>
      </c>
      <c r="AT65" s="132">
        <f>IF(AB65="","",(AN65*G65))</f>
        <v>4200000</v>
      </c>
      <c r="AU65" s="132">
        <f>IF(AB65="","",(AS65*G65))</f>
        <v>4998000</v>
      </c>
      <c r="AV65" s="133">
        <f t="shared" si="15"/>
        <v>4950400</v>
      </c>
      <c r="AW65" s="133">
        <f t="shared" si="16"/>
        <v>4950400</v>
      </c>
      <c r="AX65" s="133">
        <f t="shared" si="17"/>
        <v>1024230</v>
      </c>
      <c r="AY65" s="134">
        <f>IF(N65="","",(AX65/AW65))</f>
        <v>0.20689843244990302</v>
      </c>
      <c r="AZ65" s="5"/>
      <c r="BA65" s="7">
        <f>COUNTA(M65,Z65,AM65)</f>
        <v>3</v>
      </c>
      <c r="BB65" s="7"/>
    </row>
    <row r="66" spans="1:54" ht="108">
      <c r="A66" s="105" t="s">
        <v>181</v>
      </c>
      <c r="B66" s="105" t="s">
        <v>241</v>
      </c>
      <c r="C66" s="105" t="s">
        <v>285</v>
      </c>
      <c r="D66" s="105" t="s">
        <v>409</v>
      </c>
      <c r="E66" s="106" t="s">
        <v>410</v>
      </c>
      <c r="F66" s="107" t="s">
        <v>185</v>
      </c>
      <c r="G66" s="108">
        <v>1</v>
      </c>
      <c r="H66" s="107" t="s">
        <v>288</v>
      </c>
      <c r="I66" s="109" t="s">
        <v>381</v>
      </c>
      <c r="J66" s="110">
        <v>46105</v>
      </c>
      <c r="K66" s="111" t="s">
        <v>371</v>
      </c>
      <c r="L66" s="112" t="s">
        <v>194</v>
      </c>
      <c r="M66" s="110" t="s">
        <v>372</v>
      </c>
      <c r="N66" s="113">
        <v>756303</v>
      </c>
      <c r="O66" s="113" t="s">
        <v>198</v>
      </c>
      <c r="P66" s="113" t="s">
        <v>192</v>
      </c>
      <c r="Q66" s="114">
        <f>IF(O66="IVA Incluido",(N66/1.19),N66)</f>
        <v>756303</v>
      </c>
      <c r="R66" s="115">
        <f>IF(P66="Si tiene IVA",Q66*19%,0)</f>
        <v>143697.57</v>
      </c>
      <c r="S66" s="115">
        <f>Q66+R66</f>
        <v>900000.57000000007</v>
      </c>
      <c r="T66" s="115">
        <f>IF(B66="","",(N66*G66))</f>
        <v>756303</v>
      </c>
      <c r="U66" s="115">
        <f>IF(B66="","",(S66*G66))</f>
        <v>900000.57000000007</v>
      </c>
      <c r="V66" s="116" t="s">
        <v>381</v>
      </c>
      <c r="W66" s="117">
        <v>46056</v>
      </c>
      <c r="X66" s="118" t="s">
        <v>382</v>
      </c>
      <c r="Y66" s="119" t="s">
        <v>194</v>
      </c>
      <c r="Z66" s="120" t="s">
        <v>278</v>
      </c>
      <c r="AA66" s="121">
        <v>815000</v>
      </c>
      <c r="AB66" s="121" t="s">
        <v>198</v>
      </c>
      <c r="AC66" s="121" t="s">
        <v>192</v>
      </c>
      <c r="AD66" s="122">
        <f>IF(AB66="IVA Incluido",(AA66/1.19),AA66)</f>
        <v>815000</v>
      </c>
      <c r="AE66" s="123">
        <f>IF(AC66="Si tiene IVA",AD66*19%,0)</f>
        <v>154850</v>
      </c>
      <c r="AF66" s="123">
        <f>AD66+AE66</f>
        <v>969850</v>
      </c>
      <c r="AG66" s="123">
        <f>IF(AB66="","",(AA66*G66))</f>
        <v>815000</v>
      </c>
      <c r="AH66" s="123">
        <f>IF(AB66="","",(AF66*G66))</f>
        <v>969850</v>
      </c>
      <c r="AI66" s="124"/>
      <c r="AJ66" s="125"/>
      <c r="AK66" s="126"/>
      <c r="AL66" s="127"/>
      <c r="AM66" s="128"/>
      <c r="AN66" s="129"/>
      <c r="AO66" s="129"/>
      <c r="AP66" s="130"/>
      <c r="AQ66" s="131"/>
      <c r="AR66" s="132"/>
      <c r="AS66" s="132"/>
      <c r="AT66" s="132"/>
      <c r="AU66" s="132"/>
      <c r="AV66" s="133">
        <f t="shared" si="15"/>
        <v>934925</v>
      </c>
      <c r="AW66" s="133">
        <f t="shared" si="16"/>
        <v>934925</v>
      </c>
      <c r="AX66" s="133">
        <f t="shared" si="17"/>
        <v>49391</v>
      </c>
      <c r="AY66" s="134">
        <f>IF(N66="","",(AX66/AW66))</f>
        <v>5.2828836537690188E-2</v>
      </c>
      <c r="AZ66" s="5"/>
      <c r="BA66" s="7">
        <f>COUNTA(M66,Z66,AM66)</f>
        <v>2</v>
      </c>
      <c r="BB66" s="7"/>
    </row>
    <row r="67" spans="1:54" ht="108">
      <c r="A67" s="105" t="s">
        <v>181</v>
      </c>
      <c r="B67" s="105" t="s">
        <v>241</v>
      </c>
      <c r="C67" s="105" t="s">
        <v>285</v>
      </c>
      <c r="D67" s="105" t="s">
        <v>411</v>
      </c>
      <c r="E67" s="106" t="s">
        <v>412</v>
      </c>
      <c r="F67" s="107" t="s">
        <v>185</v>
      </c>
      <c r="G67" s="108">
        <v>1</v>
      </c>
      <c r="H67" s="107" t="s">
        <v>288</v>
      </c>
      <c r="I67" s="109" t="s">
        <v>381</v>
      </c>
      <c r="J67" s="110">
        <v>46056</v>
      </c>
      <c r="K67" s="111" t="s">
        <v>382</v>
      </c>
      <c r="L67" s="112" t="s">
        <v>194</v>
      </c>
      <c r="M67" s="110" t="s">
        <v>278</v>
      </c>
      <c r="N67" s="113">
        <v>710000</v>
      </c>
      <c r="O67" s="113" t="s">
        <v>198</v>
      </c>
      <c r="P67" s="113" t="s">
        <v>192</v>
      </c>
      <c r="Q67" s="114">
        <f>IF(O67="IVA Incluido",(N67/1.19),N67)</f>
        <v>710000</v>
      </c>
      <c r="R67" s="115">
        <f>IF(P67="Si tiene IVA",Q67*19%,0)</f>
        <v>134900</v>
      </c>
      <c r="S67" s="115">
        <f>Q67+R67</f>
        <v>844900</v>
      </c>
      <c r="T67" s="115">
        <f>IF(B67="","",(N67*G67))</f>
        <v>710000</v>
      </c>
      <c r="U67" s="115">
        <f>IF(B67="","",(S67*G67))</f>
        <v>844900</v>
      </c>
      <c r="V67" s="116" t="s">
        <v>381</v>
      </c>
      <c r="W67" s="117">
        <v>46105</v>
      </c>
      <c r="X67" s="118" t="s">
        <v>371</v>
      </c>
      <c r="Y67" s="119" t="s">
        <v>194</v>
      </c>
      <c r="Z67" s="120" t="s">
        <v>372</v>
      </c>
      <c r="AA67" s="121">
        <v>756303</v>
      </c>
      <c r="AB67" s="121" t="s">
        <v>198</v>
      </c>
      <c r="AC67" s="121" t="s">
        <v>192</v>
      </c>
      <c r="AD67" s="122">
        <f>IF(AB67="IVA Incluido",(AA67/1.19),AA67)</f>
        <v>756303</v>
      </c>
      <c r="AE67" s="123">
        <f>IF(AC67="Si tiene IVA",AD67*19%,0)</f>
        <v>143697.57</v>
      </c>
      <c r="AF67" s="123">
        <f>AD67+AE67</f>
        <v>900000.57000000007</v>
      </c>
      <c r="AG67" s="123">
        <f>IF(O67="","",(AA67*G67))</f>
        <v>756303</v>
      </c>
      <c r="AH67" s="123">
        <f>IF(O67="","",(AF67*G67))</f>
        <v>900000.57000000007</v>
      </c>
      <c r="AI67" s="124"/>
      <c r="AJ67" s="125"/>
      <c r="AK67" s="126"/>
      <c r="AL67" s="127"/>
      <c r="AM67" s="128"/>
      <c r="AN67" s="129"/>
      <c r="AO67" s="129"/>
      <c r="AP67" s="130"/>
      <c r="AQ67" s="131"/>
      <c r="AR67" s="132"/>
      <c r="AS67" s="132"/>
      <c r="AT67" s="132"/>
      <c r="AU67" s="132"/>
      <c r="AV67" s="133">
        <f t="shared" si="15"/>
        <v>872450</v>
      </c>
      <c r="AW67" s="133">
        <f t="shared" si="16"/>
        <v>872450</v>
      </c>
      <c r="AX67" s="133">
        <f t="shared" si="17"/>
        <v>38962</v>
      </c>
      <c r="AY67" s="134">
        <f>IF(N67="","",(AX67/AW67))</f>
        <v>4.4658146598658952E-2</v>
      </c>
      <c r="AZ67" s="5"/>
      <c r="BA67" s="7">
        <f>COUNTA(M67,Z67,AM67)</f>
        <v>2</v>
      </c>
      <c r="BB67" s="7"/>
    </row>
    <row r="68" spans="1:54" ht="297">
      <c r="A68" s="105" t="s">
        <v>252</v>
      </c>
      <c r="B68" s="105" t="s">
        <v>252</v>
      </c>
      <c r="C68" s="105" t="s">
        <v>252</v>
      </c>
      <c r="D68" s="105" t="s">
        <v>413</v>
      </c>
      <c r="E68" s="106" t="s">
        <v>414</v>
      </c>
      <c r="F68" s="107" t="s">
        <v>255</v>
      </c>
      <c r="G68" s="108">
        <v>1</v>
      </c>
      <c r="H68" s="107"/>
      <c r="I68" s="109"/>
      <c r="J68" s="110"/>
      <c r="K68" s="111"/>
      <c r="L68" s="112"/>
      <c r="M68" s="110"/>
      <c r="N68" s="113"/>
      <c r="O68" s="113"/>
      <c r="P68" s="113"/>
      <c r="Q68" s="114" t="s">
        <v>256</v>
      </c>
      <c r="R68" s="115" t="s">
        <v>256</v>
      </c>
      <c r="S68" s="115" t="s">
        <v>256</v>
      </c>
      <c r="T68" s="115" t="s">
        <v>256</v>
      </c>
      <c r="U68" s="115" t="s">
        <v>256</v>
      </c>
      <c r="V68" s="116" t="s">
        <v>252</v>
      </c>
      <c r="W68" s="117" t="s">
        <v>252</v>
      </c>
      <c r="X68" s="118" t="s">
        <v>252</v>
      </c>
      <c r="Y68" s="119" t="s">
        <v>252</v>
      </c>
      <c r="Z68" s="120" t="s">
        <v>257</v>
      </c>
      <c r="AA68" s="121" t="s">
        <v>252</v>
      </c>
      <c r="AB68" s="121" t="s">
        <v>252</v>
      </c>
      <c r="AC68" s="121" t="s">
        <v>252</v>
      </c>
      <c r="AD68" s="122" t="s">
        <v>252</v>
      </c>
      <c r="AE68" s="123" t="s">
        <v>252</v>
      </c>
      <c r="AF68" s="123">
        <f>AH68/1.19</f>
        <v>1974890.7563025211</v>
      </c>
      <c r="AG68" s="123">
        <f>AF68*19%</f>
        <v>375229.24369747902</v>
      </c>
      <c r="AH68" s="123">
        <v>2350120</v>
      </c>
      <c r="AI68" s="124" t="s">
        <v>252</v>
      </c>
      <c r="AJ68" s="125" t="s">
        <v>252</v>
      </c>
      <c r="AK68" s="126" t="s">
        <v>252</v>
      </c>
      <c r="AL68" s="127" t="s">
        <v>252</v>
      </c>
      <c r="AM68" s="128" t="s">
        <v>258</v>
      </c>
      <c r="AN68" s="129" t="s">
        <v>252</v>
      </c>
      <c r="AO68" s="129" t="s">
        <v>252</v>
      </c>
      <c r="AP68" s="130" t="s">
        <v>252</v>
      </c>
      <c r="AQ68" s="131">
        <v>1945705</v>
      </c>
      <c r="AR68" s="132">
        <v>369684</v>
      </c>
      <c r="AS68" s="132">
        <v>2315389</v>
      </c>
      <c r="AT68" s="132">
        <v>1945705</v>
      </c>
      <c r="AU68" s="132">
        <v>2315389</v>
      </c>
      <c r="AV68" s="133">
        <f t="shared" ref="AV68:AV131" si="27">IF(A68="","",ROUND(AVERAGE(S68,AF68,AS68),0))</f>
        <v>2145140</v>
      </c>
      <c r="AW68" s="133">
        <f t="shared" ref="AW68:AW131" si="28">IF(A68="","",AV68*G68)</f>
        <v>2145140</v>
      </c>
      <c r="AX68" s="133" t="str">
        <f t="shared" ref="AX68:AX131" si="29">IF(N68="","",ROUND(STDEV(U68,AH68,AU68),0))</f>
        <v/>
      </c>
      <c r="AY68" s="134">
        <v>1.0500000000000001E-2</v>
      </c>
      <c r="AZ68" s="5"/>
      <c r="BA68" s="7"/>
      <c r="BB68" s="7"/>
    </row>
    <row r="69" spans="1:54" ht="108">
      <c r="A69" s="105" t="s">
        <v>181</v>
      </c>
      <c r="B69" s="105" t="s">
        <v>241</v>
      </c>
      <c r="C69" s="105" t="s">
        <v>285</v>
      </c>
      <c r="D69" s="105" t="s">
        <v>415</v>
      </c>
      <c r="E69" s="106" t="s">
        <v>416</v>
      </c>
      <c r="F69" s="107" t="s">
        <v>185</v>
      </c>
      <c r="G69" s="108">
        <v>1</v>
      </c>
      <c r="H69" s="107" t="s">
        <v>288</v>
      </c>
      <c r="I69" s="109" t="s">
        <v>381</v>
      </c>
      <c r="J69" s="110">
        <v>46056</v>
      </c>
      <c r="K69" s="111" t="s">
        <v>382</v>
      </c>
      <c r="L69" s="112" t="s">
        <v>194</v>
      </c>
      <c r="M69" s="110" t="s">
        <v>278</v>
      </c>
      <c r="N69" s="113">
        <v>890000</v>
      </c>
      <c r="O69" s="113" t="s">
        <v>198</v>
      </c>
      <c r="P69" s="113" t="s">
        <v>192</v>
      </c>
      <c r="Q69" s="114">
        <f>IF(O69="IVA Incluido",(N69/1.19),N69)</f>
        <v>890000</v>
      </c>
      <c r="R69" s="115">
        <f>IF(P69="Si tiene IVA",Q69*19%,0)</f>
        <v>169100</v>
      </c>
      <c r="S69" s="115">
        <f>Q69+R69</f>
        <v>1059100</v>
      </c>
      <c r="T69" s="115">
        <f>IF(B69="","",(N69*G69))</f>
        <v>890000</v>
      </c>
      <c r="U69" s="115">
        <f>IF(B69="","",(S69*G69))</f>
        <v>1059100</v>
      </c>
      <c r="V69" s="116" t="s">
        <v>394</v>
      </c>
      <c r="W69" s="117">
        <v>46105</v>
      </c>
      <c r="X69" s="118" t="s">
        <v>371</v>
      </c>
      <c r="Y69" s="119" t="s">
        <v>194</v>
      </c>
      <c r="Z69" s="120" t="s">
        <v>372</v>
      </c>
      <c r="AA69" s="121">
        <v>840336</v>
      </c>
      <c r="AB69" s="121" t="s">
        <v>198</v>
      </c>
      <c r="AC69" s="121" t="s">
        <v>192</v>
      </c>
      <c r="AD69" s="122">
        <f>IF(AB69="IVA Incluido",(AA69/1.19),AA69)</f>
        <v>840336</v>
      </c>
      <c r="AE69" s="123">
        <f>IF(AC69="Si tiene IVA",AD69*19%,0)</f>
        <v>159663.84</v>
      </c>
      <c r="AF69" s="123">
        <f>AD69+AE69</f>
        <v>999999.84</v>
      </c>
      <c r="AG69" s="123">
        <f>IF(O69="","",(AA69*G69))</f>
        <v>840336</v>
      </c>
      <c r="AH69" s="123">
        <f>IF(O69="","",(AF69*G69))</f>
        <v>999999.84</v>
      </c>
      <c r="AI69" s="124" t="s">
        <v>394</v>
      </c>
      <c r="AJ69" s="125">
        <v>46070</v>
      </c>
      <c r="AK69" s="126" t="s">
        <v>417</v>
      </c>
      <c r="AL69" s="127" t="s">
        <v>194</v>
      </c>
      <c r="AM69" s="128" t="s">
        <v>418</v>
      </c>
      <c r="AN69" s="129">
        <v>650000</v>
      </c>
      <c r="AO69" s="129" t="s">
        <v>198</v>
      </c>
      <c r="AP69" s="130" t="s">
        <v>192</v>
      </c>
      <c r="AQ69" s="131">
        <f>IF(AO69="IVA Incluido",(AN69/1.19),AN69)</f>
        <v>650000</v>
      </c>
      <c r="AR69" s="132">
        <f>IF(AP69="Si tiene IVA",AQ69*19%,0)</f>
        <v>123500</v>
      </c>
      <c r="AS69" s="132">
        <f>AQ69+AR69</f>
        <v>773500</v>
      </c>
      <c r="AT69" s="132">
        <f>IF(AB69="","",(AN69*G69))</f>
        <v>650000</v>
      </c>
      <c r="AU69" s="132">
        <f>IF(AB69="","",(AS69*G69))</f>
        <v>773500</v>
      </c>
      <c r="AV69" s="133">
        <f t="shared" si="27"/>
        <v>944200</v>
      </c>
      <c r="AW69" s="133">
        <f t="shared" si="28"/>
        <v>944200</v>
      </c>
      <c r="AX69" s="133">
        <f t="shared" si="29"/>
        <v>150755</v>
      </c>
      <c r="AY69" s="134">
        <f>IF(N69="","",(AX69/AW69))</f>
        <v>0.15966426604532938</v>
      </c>
      <c r="AZ69" s="5"/>
      <c r="BA69" s="7">
        <f>COUNTA(M69,Z69,AM69)</f>
        <v>3</v>
      </c>
      <c r="BB69" s="7"/>
    </row>
    <row r="70" spans="1:54" ht="297">
      <c r="A70" s="105" t="s">
        <v>252</v>
      </c>
      <c r="B70" s="105" t="s">
        <v>252</v>
      </c>
      <c r="C70" s="105" t="s">
        <v>252</v>
      </c>
      <c r="D70" s="105" t="s">
        <v>419</v>
      </c>
      <c r="E70" s="106" t="s">
        <v>420</v>
      </c>
      <c r="F70" s="107" t="s">
        <v>255</v>
      </c>
      <c r="G70" s="108">
        <v>1</v>
      </c>
      <c r="H70" s="107"/>
      <c r="I70" s="109"/>
      <c r="J70" s="110"/>
      <c r="K70" s="111"/>
      <c r="L70" s="112"/>
      <c r="M70" s="110"/>
      <c r="N70" s="113"/>
      <c r="O70" s="113"/>
      <c r="P70" s="113"/>
      <c r="Q70" s="114" t="s">
        <v>256</v>
      </c>
      <c r="R70" s="115" t="s">
        <v>256</v>
      </c>
      <c r="S70" s="115" t="s">
        <v>256</v>
      </c>
      <c r="T70" s="115" t="s">
        <v>256</v>
      </c>
      <c r="U70" s="115" t="s">
        <v>256</v>
      </c>
      <c r="V70" s="116" t="s">
        <v>252</v>
      </c>
      <c r="W70" s="117" t="s">
        <v>252</v>
      </c>
      <c r="X70" s="118" t="s">
        <v>252</v>
      </c>
      <c r="Y70" s="119" t="s">
        <v>252</v>
      </c>
      <c r="Z70" s="120" t="s">
        <v>257</v>
      </c>
      <c r="AA70" s="121" t="s">
        <v>252</v>
      </c>
      <c r="AB70" s="121" t="s">
        <v>252</v>
      </c>
      <c r="AC70" s="121" t="s">
        <v>252</v>
      </c>
      <c r="AD70" s="122" t="s">
        <v>252</v>
      </c>
      <c r="AE70" s="123" t="s">
        <v>252</v>
      </c>
      <c r="AF70" s="123">
        <f>AH70/1.19</f>
        <v>1218534.4537815126</v>
      </c>
      <c r="AG70" s="123">
        <f>AF70*19%</f>
        <v>231521.54621848738</v>
      </c>
      <c r="AH70" s="123">
        <v>1450056</v>
      </c>
      <c r="AI70" s="124" t="s">
        <v>252</v>
      </c>
      <c r="AJ70" s="125" t="s">
        <v>252</v>
      </c>
      <c r="AK70" s="126" t="s">
        <v>252</v>
      </c>
      <c r="AL70" s="127" t="s">
        <v>252</v>
      </c>
      <c r="AM70" s="128" t="s">
        <v>258</v>
      </c>
      <c r="AN70" s="129" t="s">
        <v>252</v>
      </c>
      <c r="AO70" s="129" t="s">
        <v>252</v>
      </c>
      <c r="AP70" s="130" t="s">
        <v>252</v>
      </c>
      <c r="AQ70" s="131">
        <v>1200527</v>
      </c>
      <c r="AR70" s="132">
        <v>228100</v>
      </c>
      <c r="AS70" s="132">
        <v>1428627</v>
      </c>
      <c r="AT70" s="132">
        <v>1200527</v>
      </c>
      <c r="AU70" s="132">
        <v>1428627</v>
      </c>
      <c r="AV70" s="133">
        <f t="shared" si="27"/>
        <v>1323581</v>
      </c>
      <c r="AW70" s="133">
        <f t="shared" si="28"/>
        <v>1323581</v>
      </c>
      <c r="AX70" s="133" t="str">
        <f t="shared" si="29"/>
        <v/>
      </c>
      <c r="AY70" s="134">
        <v>1.0500000000000001E-2</v>
      </c>
      <c r="AZ70" s="5"/>
      <c r="BA70" s="7"/>
      <c r="BB70" s="7"/>
    </row>
    <row r="71" spans="1:54" ht="297">
      <c r="A71" s="105" t="s">
        <v>252</v>
      </c>
      <c r="B71" s="105" t="s">
        <v>252</v>
      </c>
      <c r="C71" s="105" t="s">
        <v>252</v>
      </c>
      <c r="D71" s="105" t="s">
        <v>421</v>
      </c>
      <c r="E71" s="106" t="s">
        <v>422</v>
      </c>
      <c r="F71" s="107" t="s">
        <v>255</v>
      </c>
      <c r="G71" s="108">
        <v>1</v>
      </c>
      <c r="H71" s="107"/>
      <c r="I71" s="109"/>
      <c r="J71" s="110"/>
      <c r="K71" s="111"/>
      <c r="L71" s="112"/>
      <c r="M71" s="110"/>
      <c r="N71" s="113"/>
      <c r="O71" s="113"/>
      <c r="P71" s="113"/>
      <c r="Q71" s="114" t="s">
        <v>256</v>
      </c>
      <c r="R71" s="115" t="s">
        <v>256</v>
      </c>
      <c r="S71" s="115" t="s">
        <v>256</v>
      </c>
      <c r="T71" s="115" t="s">
        <v>256</v>
      </c>
      <c r="U71" s="115" t="s">
        <v>256</v>
      </c>
      <c r="V71" s="116" t="s">
        <v>252</v>
      </c>
      <c r="W71" s="117" t="s">
        <v>252</v>
      </c>
      <c r="X71" s="118" t="s">
        <v>252</v>
      </c>
      <c r="Y71" s="119" t="s">
        <v>252</v>
      </c>
      <c r="Z71" s="120" t="s">
        <v>257</v>
      </c>
      <c r="AA71" s="121" t="s">
        <v>252</v>
      </c>
      <c r="AB71" s="121" t="s">
        <v>252</v>
      </c>
      <c r="AC71" s="121" t="s">
        <v>252</v>
      </c>
      <c r="AD71" s="122" t="s">
        <v>252</v>
      </c>
      <c r="AE71" s="123" t="s">
        <v>252</v>
      </c>
      <c r="AF71" s="123">
        <f>AH71/1.19</f>
        <v>1712023.5294117648</v>
      </c>
      <c r="AG71" s="123">
        <f>AF71*19%</f>
        <v>325284.4705882353</v>
      </c>
      <c r="AH71" s="123">
        <v>2037308</v>
      </c>
      <c r="AI71" s="124" t="s">
        <v>252</v>
      </c>
      <c r="AJ71" s="125" t="s">
        <v>252</v>
      </c>
      <c r="AK71" s="126" t="s">
        <v>252</v>
      </c>
      <c r="AL71" s="127" t="s">
        <v>252</v>
      </c>
      <c r="AM71" s="128" t="s">
        <v>258</v>
      </c>
      <c r="AN71" s="129" t="s">
        <v>252</v>
      </c>
      <c r="AO71" s="129" t="s">
        <v>252</v>
      </c>
      <c r="AP71" s="130" t="s">
        <v>252</v>
      </c>
      <c r="AQ71" s="131">
        <v>1686723</v>
      </c>
      <c r="AR71" s="132">
        <v>320477</v>
      </c>
      <c r="AS71" s="132">
        <v>2007200</v>
      </c>
      <c r="AT71" s="132">
        <v>1686723</v>
      </c>
      <c r="AU71" s="132">
        <v>2007200</v>
      </c>
      <c r="AV71" s="133">
        <f t="shared" si="27"/>
        <v>1859612</v>
      </c>
      <c r="AW71" s="133">
        <f t="shared" si="28"/>
        <v>1859612</v>
      </c>
      <c r="AX71" s="133" t="str">
        <f t="shared" si="29"/>
        <v/>
      </c>
      <c r="AY71" s="134">
        <v>1.0500000000000001E-2</v>
      </c>
      <c r="AZ71" s="5"/>
      <c r="BA71" s="7"/>
      <c r="BB71" s="7"/>
    </row>
    <row r="72" spans="1:54" ht="108">
      <c r="A72" s="105" t="s">
        <v>181</v>
      </c>
      <c r="B72" s="105" t="s">
        <v>241</v>
      </c>
      <c r="C72" s="105" t="s">
        <v>285</v>
      </c>
      <c r="D72" s="105" t="s">
        <v>423</v>
      </c>
      <c r="E72" s="106" t="s">
        <v>424</v>
      </c>
      <c r="F72" s="107" t="s">
        <v>185</v>
      </c>
      <c r="G72" s="108">
        <v>1</v>
      </c>
      <c r="H72" s="107" t="s">
        <v>288</v>
      </c>
      <c r="I72" s="109" t="s">
        <v>381</v>
      </c>
      <c r="J72" s="110">
        <v>46071</v>
      </c>
      <c r="K72" s="111" t="s">
        <v>289</v>
      </c>
      <c r="L72" s="112" t="s">
        <v>194</v>
      </c>
      <c r="M72" s="110" t="s">
        <v>290</v>
      </c>
      <c r="N72" s="113">
        <v>1650000</v>
      </c>
      <c r="O72" s="113" t="s">
        <v>198</v>
      </c>
      <c r="P72" s="113" t="s">
        <v>192</v>
      </c>
      <c r="Q72" s="114">
        <v>1250000</v>
      </c>
      <c r="R72" s="115">
        <f>IF(P72="Si tiene IVA",Q72*19%,0)</f>
        <v>237500</v>
      </c>
      <c r="S72" s="115">
        <f>Q72+R72</f>
        <v>1487500</v>
      </c>
      <c r="T72" s="115">
        <f>IF(B72="","",(N72*G72))</f>
        <v>1650000</v>
      </c>
      <c r="U72" s="115">
        <f>IF(B72="","",(S72*G72))</f>
        <v>1487500</v>
      </c>
      <c r="V72" s="116" t="s">
        <v>187</v>
      </c>
      <c r="W72" s="117">
        <v>46105</v>
      </c>
      <c r="X72" s="118" t="s">
        <v>371</v>
      </c>
      <c r="Y72" s="119" t="s">
        <v>194</v>
      </c>
      <c r="Z72" s="120" t="s">
        <v>372</v>
      </c>
      <c r="AA72" s="121">
        <v>1008403</v>
      </c>
      <c r="AB72" s="121" t="s">
        <v>198</v>
      </c>
      <c r="AC72" s="121" t="s">
        <v>192</v>
      </c>
      <c r="AD72" s="122">
        <f>IF(AB72="IVA Incluido",(AA72/1.19),AA72)</f>
        <v>1008403</v>
      </c>
      <c r="AE72" s="123">
        <f>IF(AC72="Si tiene IVA",AD72*19%,0)</f>
        <v>191596.57</v>
      </c>
      <c r="AF72" s="123">
        <f>AD72+AE72</f>
        <v>1199999.57</v>
      </c>
      <c r="AG72" s="123">
        <f>IF(O72="","",(AA72*G72))</f>
        <v>1008403</v>
      </c>
      <c r="AH72" s="123">
        <f>IF(O72="","",(AF72*G72))</f>
        <v>1199999.57</v>
      </c>
      <c r="AI72" s="124" t="s">
        <v>373</v>
      </c>
      <c r="AJ72" s="125">
        <v>46071</v>
      </c>
      <c r="AK72" s="126" t="s">
        <v>293</v>
      </c>
      <c r="AL72" s="127" t="s">
        <v>194</v>
      </c>
      <c r="AM72" s="128" t="s">
        <v>418</v>
      </c>
      <c r="AN72" s="129">
        <v>1100000</v>
      </c>
      <c r="AO72" s="129" t="s">
        <v>198</v>
      </c>
      <c r="AP72" s="130" t="s">
        <v>192</v>
      </c>
      <c r="AQ72" s="131">
        <f>IF(AO72="IVA Incluido",(AN72/1.19),AN72)</f>
        <v>1100000</v>
      </c>
      <c r="AR72" s="132">
        <f>IF(AP72="Si tiene IVA",AQ72*19%,0)</f>
        <v>209000</v>
      </c>
      <c r="AS72" s="132">
        <f>AQ72+AR72</f>
        <v>1309000</v>
      </c>
      <c r="AT72" s="132">
        <f>IF(AB72="","",(AN72*G72))</f>
        <v>1100000</v>
      </c>
      <c r="AU72" s="132">
        <f>IF(AB72="","",(AS72*G72))</f>
        <v>1309000</v>
      </c>
      <c r="AV72" s="133">
        <f t="shared" si="27"/>
        <v>1332167</v>
      </c>
      <c r="AW72" s="133">
        <f t="shared" si="28"/>
        <v>1332167</v>
      </c>
      <c r="AX72" s="133">
        <f t="shared" si="29"/>
        <v>145144</v>
      </c>
      <c r="AY72" s="134">
        <f>IF(N72="","",(AX72/AW72))</f>
        <v>0.10895330690521533</v>
      </c>
      <c r="AZ72" s="5"/>
      <c r="BA72" s="7">
        <f>COUNTA(M72,Z72,AM72)</f>
        <v>3</v>
      </c>
      <c r="BB72" s="7"/>
    </row>
    <row r="73" spans="1:54" ht="108">
      <c r="A73" s="105" t="s">
        <v>181</v>
      </c>
      <c r="B73" s="105" t="s">
        <v>241</v>
      </c>
      <c r="C73" s="105" t="s">
        <v>285</v>
      </c>
      <c r="D73" s="105" t="s">
        <v>425</v>
      </c>
      <c r="E73" s="106" t="s">
        <v>426</v>
      </c>
      <c r="F73" s="107" t="s">
        <v>185</v>
      </c>
      <c r="G73" s="108">
        <v>1</v>
      </c>
      <c r="H73" s="107" t="s">
        <v>288</v>
      </c>
      <c r="I73" s="109" t="s">
        <v>381</v>
      </c>
      <c r="J73" s="110">
        <v>46056</v>
      </c>
      <c r="K73" s="111" t="s">
        <v>382</v>
      </c>
      <c r="L73" s="112" t="s">
        <v>194</v>
      </c>
      <c r="M73" s="110" t="s">
        <v>278</v>
      </c>
      <c r="N73" s="113">
        <v>987500</v>
      </c>
      <c r="O73" s="113" t="s">
        <v>198</v>
      </c>
      <c r="P73" s="113" t="s">
        <v>192</v>
      </c>
      <c r="Q73" s="114">
        <f>IF(O73="IVA Incluido",(N73/1.19),N73)</f>
        <v>987500</v>
      </c>
      <c r="R73" s="115">
        <f>IF(P73="Si tiene IVA",Q73*19%,0)</f>
        <v>187625</v>
      </c>
      <c r="S73" s="115">
        <f>Q73+R73</f>
        <v>1175125</v>
      </c>
      <c r="T73" s="115">
        <f>IF(B73="","",(N73*G73))</f>
        <v>987500</v>
      </c>
      <c r="U73" s="115">
        <f>IF(B73="","",(S73*G73))</f>
        <v>1175125</v>
      </c>
      <c r="V73" s="116" t="s">
        <v>381</v>
      </c>
      <c r="W73" s="117">
        <v>46105</v>
      </c>
      <c r="X73" s="118" t="s">
        <v>371</v>
      </c>
      <c r="Y73" s="119" t="s">
        <v>194</v>
      </c>
      <c r="Z73" s="120" t="s">
        <v>372</v>
      </c>
      <c r="AA73" s="121">
        <v>1008403</v>
      </c>
      <c r="AB73" s="121" t="s">
        <v>198</v>
      </c>
      <c r="AC73" s="121" t="s">
        <v>192</v>
      </c>
      <c r="AD73" s="122">
        <f>IF(AB73="IVA Incluido",(AA73/1.19),AA73)</f>
        <v>1008403</v>
      </c>
      <c r="AE73" s="123">
        <f>IF(AC73="Si tiene IVA",AD73*19%,0)</f>
        <v>191596.57</v>
      </c>
      <c r="AF73" s="123">
        <f>AD73+AE73</f>
        <v>1199999.57</v>
      </c>
      <c r="AG73" s="123">
        <f>IF(O73="","",(AA73*G73))</f>
        <v>1008403</v>
      </c>
      <c r="AH73" s="123">
        <f>IF(O73="","",(AF73*G73))</f>
        <v>1199999.57</v>
      </c>
      <c r="AI73" s="124"/>
      <c r="AJ73" s="125"/>
      <c r="AK73" s="126"/>
      <c r="AL73" s="127"/>
      <c r="AM73" s="128"/>
      <c r="AN73" s="129"/>
      <c r="AO73" s="129"/>
      <c r="AP73" s="130"/>
      <c r="AQ73" s="131"/>
      <c r="AR73" s="132"/>
      <c r="AS73" s="132"/>
      <c r="AT73" s="132"/>
      <c r="AU73" s="132"/>
      <c r="AV73" s="133">
        <f t="shared" si="27"/>
        <v>1187562</v>
      </c>
      <c r="AW73" s="133">
        <f t="shared" si="28"/>
        <v>1187562</v>
      </c>
      <c r="AX73" s="133">
        <f t="shared" si="29"/>
        <v>17589</v>
      </c>
      <c r="AY73" s="134">
        <f>IF(N73="","",(AX73/AW73))</f>
        <v>1.4811016182734038E-2</v>
      </c>
      <c r="AZ73" s="5"/>
      <c r="BA73" s="7">
        <f>COUNTA(M73,Z73,AM73)</f>
        <v>2</v>
      </c>
      <c r="BB73" s="7"/>
    </row>
    <row r="74" spans="1:54" ht="94.5">
      <c r="A74" s="105" t="s">
        <v>181</v>
      </c>
      <c r="B74" s="105" t="s">
        <v>241</v>
      </c>
      <c r="C74" s="105" t="s">
        <v>285</v>
      </c>
      <c r="D74" s="105" t="s">
        <v>427</v>
      </c>
      <c r="E74" s="106" t="s">
        <v>428</v>
      </c>
      <c r="F74" s="107" t="s">
        <v>185</v>
      </c>
      <c r="G74" s="108">
        <v>1</v>
      </c>
      <c r="H74" s="107" t="s">
        <v>288</v>
      </c>
      <c r="I74" s="109" t="s">
        <v>381</v>
      </c>
      <c r="J74" s="110">
        <v>46070</v>
      </c>
      <c r="K74" s="111" t="s">
        <v>383</v>
      </c>
      <c r="L74" s="112" t="s">
        <v>194</v>
      </c>
      <c r="M74" s="110" t="s">
        <v>384</v>
      </c>
      <c r="N74" s="113">
        <v>3800000</v>
      </c>
      <c r="O74" s="113" t="s">
        <v>198</v>
      </c>
      <c r="P74" s="113" t="s">
        <v>192</v>
      </c>
      <c r="Q74" s="114">
        <f>IF(O74="IVA Incluido",(N74/1.19),N74)</f>
        <v>3800000</v>
      </c>
      <c r="R74" s="115">
        <f>IF(P74="Si tiene IVA",Q74*19%,0)</f>
        <v>722000</v>
      </c>
      <c r="S74" s="115">
        <f>Q74+R74</f>
        <v>4522000</v>
      </c>
      <c r="T74" s="115">
        <f>IF(B74="","",(N74*G74))</f>
        <v>3800000</v>
      </c>
      <c r="U74" s="115">
        <f>IF(B74="","",(S74*G74))</f>
        <v>4522000</v>
      </c>
      <c r="V74" s="116" t="s">
        <v>381</v>
      </c>
      <c r="W74" s="117">
        <v>46105</v>
      </c>
      <c r="X74" s="118" t="s">
        <v>371</v>
      </c>
      <c r="Y74" s="119" t="s">
        <v>194</v>
      </c>
      <c r="Z74" s="120" t="s">
        <v>372</v>
      </c>
      <c r="AA74" s="121">
        <v>2941177</v>
      </c>
      <c r="AB74" s="121" t="s">
        <v>198</v>
      </c>
      <c r="AC74" s="121" t="s">
        <v>192</v>
      </c>
      <c r="AD74" s="122">
        <f>IF(AB74="IVA Incluido",(AA74/1.19),AA74)</f>
        <v>2941177</v>
      </c>
      <c r="AE74" s="123">
        <f>IF(AC74="Si tiene IVA",AD74*19%,0)</f>
        <v>558823.63</v>
      </c>
      <c r="AF74" s="123">
        <f>AD74+AE74</f>
        <v>3500000.63</v>
      </c>
      <c r="AG74" s="123">
        <f>IF(O74="","",(AA74*G74))</f>
        <v>2941177</v>
      </c>
      <c r="AH74" s="123">
        <f>IF(O74="","",(AF74*G74))</f>
        <v>3500000.63</v>
      </c>
      <c r="AI74" s="124"/>
      <c r="AJ74" s="125"/>
      <c r="AK74" s="126"/>
      <c r="AL74" s="127"/>
      <c r="AM74" s="128"/>
      <c r="AN74" s="129"/>
      <c r="AO74" s="129"/>
      <c r="AP74" s="130"/>
      <c r="AQ74" s="131"/>
      <c r="AR74" s="132"/>
      <c r="AS74" s="132"/>
      <c r="AT74" s="132"/>
      <c r="AU74" s="132"/>
      <c r="AV74" s="133">
        <f t="shared" si="27"/>
        <v>4011000</v>
      </c>
      <c r="AW74" s="133">
        <f t="shared" si="28"/>
        <v>4011000</v>
      </c>
      <c r="AX74" s="133">
        <f t="shared" si="29"/>
        <v>722663</v>
      </c>
      <c r="AY74" s="134">
        <f>IF(N74="","",(AX74/AW74))</f>
        <v>0.18017028172525554</v>
      </c>
      <c r="AZ74" s="5"/>
      <c r="BA74" s="7">
        <f>COUNTA(M74,Z74,AM74)</f>
        <v>2</v>
      </c>
      <c r="BB74" s="7"/>
    </row>
    <row r="75" spans="1:54" ht="94.5">
      <c r="A75" s="105" t="s">
        <v>181</v>
      </c>
      <c r="B75" s="105" t="s">
        <v>241</v>
      </c>
      <c r="C75" s="105" t="s">
        <v>285</v>
      </c>
      <c r="D75" s="105" t="s">
        <v>429</v>
      </c>
      <c r="E75" s="106" t="s">
        <v>430</v>
      </c>
      <c r="F75" s="107" t="s">
        <v>185</v>
      </c>
      <c r="G75" s="108">
        <v>1</v>
      </c>
      <c r="H75" s="107" t="s">
        <v>288</v>
      </c>
      <c r="I75" s="109" t="s">
        <v>381</v>
      </c>
      <c r="J75" s="110">
        <v>46070</v>
      </c>
      <c r="K75" s="111" t="s">
        <v>383</v>
      </c>
      <c r="L75" s="112" t="s">
        <v>194</v>
      </c>
      <c r="M75" s="110" t="s">
        <v>384</v>
      </c>
      <c r="N75" s="113">
        <v>3800000</v>
      </c>
      <c r="O75" s="113" t="s">
        <v>198</v>
      </c>
      <c r="P75" s="113" t="s">
        <v>192</v>
      </c>
      <c r="Q75" s="114">
        <f>IF(O75="IVA Incluido",(N75/1.19),N75)</f>
        <v>3800000</v>
      </c>
      <c r="R75" s="115">
        <f>IF(P75="Si tiene IVA",Q75*19%,0)</f>
        <v>722000</v>
      </c>
      <c r="S75" s="115">
        <f>Q75+R75</f>
        <v>4522000</v>
      </c>
      <c r="T75" s="115">
        <f>IF(B75="","",(N75*G75))</f>
        <v>3800000</v>
      </c>
      <c r="U75" s="115">
        <f>IF(B75="","",(S75*G75))</f>
        <v>4522000</v>
      </c>
      <c r="V75" s="116" t="s">
        <v>381</v>
      </c>
      <c r="W75" s="117">
        <v>46105</v>
      </c>
      <c r="X75" s="118" t="s">
        <v>371</v>
      </c>
      <c r="Y75" s="119" t="s">
        <v>194</v>
      </c>
      <c r="Z75" s="120" t="s">
        <v>372</v>
      </c>
      <c r="AA75" s="121">
        <v>2941177</v>
      </c>
      <c r="AB75" s="121" t="s">
        <v>198</v>
      </c>
      <c r="AC75" s="121" t="s">
        <v>192</v>
      </c>
      <c r="AD75" s="122">
        <f>IF(AB75="IVA Incluido",(AA75/1.19),AA75)</f>
        <v>2941177</v>
      </c>
      <c r="AE75" s="123">
        <f>IF(AC75="Si tiene IVA",AD75*19%,0)</f>
        <v>558823.63</v>
      </c>
      <c r="AF75" s="123">
        <f>AD75+AE75</f>
        <v>3500000.63</v>
      </c>
      <c r="AG75" s="123">
        <f>IF(O75="","",(AA75*G75))</f>
        <v>2941177</v>
      </c>
      <c r="AH75" s="123">
        <f>IF(O75="","",(AF75*G75))</f>
        <v>3500000.63</v>
      </c>
      <c r="AI75" s="124"/>
      <c r="AJ75" s="125"/>
      <c r="AK75" s="126"/>
      <c r="AL75" s="127"/>
      <c r="AM75" s="128"/>
      <c r="AN75" s="129"/>
      <c r="AO75" s="129"/>
      <c r="AP75" s="130"/>
      <c r="AQ75" s="131"/>
      <c r="AR75" s="132"/>
      <c r="AS75" s="132"/>
      <c r="AT75" s="132"/>
      <c r="AU75" s="132"/>
      <c r="AV75" s="133">
        <f t="shared" si="27"/>
        <v>4011000</v>
      </c>
      <c r="AW75" s="133">
        <f t="shared" si="28"/>
        <v>4011000</v>
      </c>
      <c r="AX75" s="133">
        <f t="shared" si="29"/>
        <v>722663</v>
      </c>
      <c r="AY75" s="134">
        <f>IF(N75="","",(AX75/AW75))</f>
        <v>0.18017028172525554</v>
      </c>
      <c r="AZ75" s="5"/>
      <c r="BA75" s="7">
        <f>COUNTA(M75,Z75,AM75)</f>
        <v>2</v>
      </c>
      <c r="BB75" s="7"/>
    </row>
    <row r="76" spans="1:54" ht="297">
      <c r="A76" s="105" t="s">
        <v>252</v>
      </c>
      <c r="B76" s="105" t="s">
        <v>252</v>
      </c>
      <c r="C76" s="105" t="s">
        <v>252</v>
      </c>
      <c r="D76" s="105" t="s">
        <v>431</v>
      </c>
      <c r="E76" s="106" t="s">
        <v>432</v>
      </c>
      <c r="F76" s="107" t="s">
        <v>255</v>
      </c>
      <c r="G76" s="108">
        <v>1</v>
      </c>
      <c r="H76" s="107"/>
      <c r="I76" s="109"/>
      <c r="J76" s="110"/>
      <c r="K76" s="111"/>
      <c r="L76" s="112"/>
      <c r="M76" s="110"/>
      <c r="N76" s="113"/>
      <c r="O76" s="113"/>
      <c r="P76" s="113"/>
      <c r="Q76" s="114" t="s">
        <v>256</v>
      </c>
      <c r="R76" s="115" t="s">
        <v>256</v>
      </c>
      <c r="S76" s="115" t="s">
        <v>256</v>
      </c>
      <c r="T76" s="115" t="s">
        <v>256</v>
      </c>
      <c r="U76" s="115" t="s">
        <v>256</v>
      </c>
      <c r="V76" s="116" t="s">
        <v>252</v>
      </c>
      <c r="W76" s="117" t="s">
        <v>252</v>
      </c>
      <c r="X76" s="118" t="s">
        <v>252</v>
      </c>
      <c r="Y76" s="119" t="s">
        <v>252</v>
      </c>
      <c r="Z76" s="120" t="s">
        <v>257</v>
      </c>
      <c r="AA76" s="121" t="s">
        <v>252</v>
      </c>
      <c r="AB76" s="121" t="s">
        <v>252</v>
      </c>
      <c r="AC76" s="121" t="s">
        <v>252</v>
      </c>
      <c r="AD76" s="122" t="s">
        <v>252</v>
      </c>
      <c r="AE76" s="123" t="s">
        <v>252</v>
      </c>
      <c r="AF76" s="123">
        <f t="shared" ref="AF76:AF81" si="30">AH76/1.19</f>
        <v>4411356.302521009</v>
      </c>
      <c r="AG76" s="123">
        <f t="shared" ref="AG76:AG81" si="31">AF76*19%</f>
        <v>838157.6974789917</v>
      </c>
      <c r="AH76" s="123">
        <v>5249514</v>
      </c>
      <c r="AI76" s="124" t="s">
        <v>252</v>
      </c>
      <c r="AJ76" s="125" t="s">
        <v>252</v>
      </c>
      <c r="AK76" s="126" t="s">
        <v>252</v>
      </c>
      <c r="AL76" s="127" t="s">
        <v>252</v>
      </c>
      <c r="AM76" s="128" t="s">
        <v>258</v>
      </c>
      <c r="AN76" s="129" t="s">
        <v>252</v>
      </c>
      <c r="AO76" s="129" t="s">
        <v>252</v>
      </c>
      <c r="AP76" s="130" t="s">
        <v>252</v>
      </c>
      <c r="AQ76" s="131">
        <v>4387954</v>
      </c>
      <c r="AR76" s="132">
        <v>833711</v>
      </c>
      <c r="AS76" s="132">
        <v>5221665</v>
      </c>
      <c r="AT76" s="132">
        <v>4387954</v>
      </c>
      <c r="AU76" s="132">
        <v>5221665</v>
      </c>
      <c r="AV76" s="133">
        <f t="shared" si="27"/>
        <v>4816511</v>
      </c>
      <c r="AW76" s="133">
        <f t="shared" si="28"/>
        <v>4816511</v>
      </c>
      <c r="AX76" s="133" t="str">
        <f t="shared" si="29"/>
        <v/>
      </c>
      <c r="AY76" s="134">
        <v>3.8E-3</v>
      </c>
      <c r="AZ76" s="5"/>
      <c r="BA76" s="7"/>
      <c r="BB76" s="7"/>
    </row>
    <row r="77" spans="1:54" ht="297">
      <c r="A77" s="105" t="s">
        <v>252</v>
      </c>
      <c r="B77" s="105" t="s">
        <v>252</v>
      </c>
      <c r="C77" s="105" t="s">
        <v>252</v>
      </c>
      <c r="D77" s="105" t="s">
        <v>433</v>
      </c>
      <c r="E77" s="106" t="s">
        <v>434</v>
      </c>
      <c r="F77" s="107" t="s">
        <v>255</v>
      </c>
      <c r="G77" s="108">
        <v>1</v>
      </c>
      <c r="H77" s="107"/>
      <c r="I77" s="109"/>
      <c r="J77" s="110"/>
      <c r="K77" s="111"/>
      <c r="L77" s="112"/>
      <c r="M77" s="110"/>
      <c r="N77" s="113"/>
      <c r="O77" s="113"/>
      <c r="P77" s="113"/>
      <c r="Q77" s="114" t="s">
        <v>256</v>
      </c>
      <c r="R77" s="115" t="s">
        <v>256</v>
      </c>
      <c r="S77" s="115" t="s">
        <v>256</v>
      </c>
      <c r="T77" s="115" t="s">
        <v>256</v>
      </c>
      <c r="U77" s="115" t="s">
        <v>256</v>
      </c>
      <c r="V77" s="116" t="s">
        <v>252</v>
      </c>
      <c r="W77" s="117" t="s">
        <v>252</v>
      </c>
      <c r="X77" s="118" t="s">
        <v>252</v>
      </c>
      <c r="Y77" s="119" t="s">
        <v>252</v>
      </c>
      <c r="Z77" s="120" t="s">
        <v>257</v>
      </c>
      <c r="AA77" s="121" t="s">
        <v>252</v>
      </c>
      <c r="AB77" s="121" t="s">
        <v>252</v>
      </c>
      <c r="AC77" s="121" t="s">
        <v>252</v>
      </c>
      <c r="AD77" s="122" t="s">
        <v>252</v>
      </c>
      <c r="AE77" s="123" t="s">
        <v>252</v>
      </c>
      <c r="AF77" s="123">
        <f t="shared" si="30"/>
        <v>3227120.1680672271</v>
      </c>
      <c r="AG77" s="123">
        <f t="shared" si="31"/>
        <v>613152.83193277312</v>
      </c>
      <c r="AH77" s="123">
        <v>3840273</v>
      </c>
      <c r="AI77" s="124" t="s">
        <v>252</v>
      </c>
      <c r="AJ77" s="125" t="s">
        <v>252</v>
      </c>
      <c r="AK77" s="126" t="s">
        <v>252</v>
      </c>
      <c r="AL77" s="127" t="s">
        <v>252</v>
      </c>
      <c r="AM77" s="128" t="s">
        <v>258</v>
      </c>
      <c r="AN77" s="129" t="s">
        <v>252</v>
      </c>
      <c r="AO77" s="129" t="s">
        <v>252</v>
      </c>
      <c r="AP77" s="130" t="s">
        <v>252</v>
      </c>
      <c r="AQ77" s="131">
        <v>3210000</v>
      </c>
      <c r="AR77" s="132">
        <v>609900</v>
      </c>
      <c r="AS77" s="132">
        <v>3819900</v>
      </c>
      <c r="AT77" s="132">
        <v>3210000</v>
      </c>
      <c r="AU77" s="132">
        <v>3819900</v>
      </c>
      <c r="AV77" s="133">
        <f t="shared" si="27"/>
        <v>3523510</v>
      </c>
      <c r="AW77" s="133">
        <f t="shared" si="28"/>
        <v>3523510</v>
      </c>
      <c r="AX77" s="133" t="str">
        <f t="shared" si="29"/>
        <v/>
      </c>
      <c r="AY77" s="134">
        <v>3.8E-3</v>
      </c>
      <c r="AZ77" s="5"/>
      <c r="BA77" s="7"/>
      <c r="BB77" s="7"/>
    </row>
    <row r="78" spans="1:54" ht="297">
      <c r="A78" s="105" t="s">
        <v>252</v>
      </c>
      <c r="B78" s="105" t="s">
        <v>252</v>
      </c>
      <c r="C78" s="105" t="s">
        <v>252</v>
      </c>
      <c r="D78" s="105" t="s">
        <v>435</v>
      </c>
      <c r="E78" s="106" t="s">
        <v>436</v>
      </c>
      <c r="F78" s="107" t="s">
        <v>255</v>
      </c>
      <c r="G78" s="108">
        <v>1</v>
      </c>
      <c r="H78" s="107"/>
      <c r="I78" s="109"/>
      <c r="J78" s="110"/>
      <c r="K78" s="111"/>
      <c r="L78" s="112"/>
      <c r="M78" s="110"/>
      <c r="N78" s="113"/>
      <c r="O78" s="113"/>
      <c r="P78" s="113"/>
      <c r="Q78" s="114" t="s">
        <v>256</v>
      </c>
      <c r="R78" s="115" t="s">
        <v>256</v>
      </c>
      <c r="S78" s="115" t="s">
        <v>256</v>
      </c>
      <c r="T78" s="115" t="s">
        <v>256</v>
      </c>
      <c r="U78" s="115" t="s">
        <v>256</v>
      </c>
      <c r="V78" s="116" t="s">
        <v>252</v>
      </c>
      <c r="W78" s="117" t="s">
        <v>252</v>
      </c>
      <c r="X78" s="118" t="s">
        <v>252</v>
      </c>
      <c r="Y78" s="119" t="s">
        <v>252</v>
      </c>
      <c r="Z78" s="120" t="s">
        <v>257</v>
      </c>
      <c r="AA78" s="121" t="s">
        <v>252</v>
      </c>
      <c r="AB78" s="121" t="s">
        <v>252</v>
      </c>
      <c r="AC78" s="121" t="s">
        <v>252</v>
      </c>
      <c r="AD78" s="122" t="s">
        <v>252</v>
      </c>
      <c r="AE78" s="123" t="s">
        <v>252</v>
      </c>
      <c r="AF78" s="123">
        <f t="shared" si="30"/>
        <v>32826.89075630252</v>
      </c>
      <c r="AG78" s="123">
        <f t="shared" si="31"/>
        <v>6237.1092436974786</v>
      </c>
      <c r="AH78" s="123">
        <v>39064</v>
      </c>
      <c r="AI78" s="124" t="s">
        <v>252</v>
      </c>
      <c r="AJ78" s="125" t="s">
        <v>252</v>
      </c>
      <c r="AK78" s="126" t="s">
        <v>252</v>
      </c>
      <c r="AL78" s="127" t="s">
        <v>252</v>
      </c>
      <c r="AM78" s="128" t="s">
        <v>258</v>
      </c>
      <c r="AN78" s="129" t="s">
        <v>252</v>
      </c>
      <c r="AO78" s="129" t="s">
        <v>252</v>
      </c>
      <c r="AP78" s="130" t="s">
        <v>252</v>
      </c>
      <c r="AQ78" s="131">
        <v>31719</v>
      </c>
      <c r="AR78" s="132">
        <v>6027</v>
      </c>
      <c r="AS78" s="132">
        <v>37746</v>
      </c>
      <c r="AT78" s="132">
        <v>31719</v>
      </c>
      <c r="AU78" s="132">
        <v>37746</v>
      </c>
      <c r="AV78" s="133">
        <f t="shared" si="27"/>
        <v>35286</v>
      </c>
      <c r="AW78" s="133">
        <f t="shared" si="28"/>
        <v>35286</v>
      </c>
      <c r="AX78" s="133" t="str">
        <f t="shared" si="29"/>
        <v/>
      </c>
      <c r="AY78" s="134">
        <v>2.4299999999999999E-2</v>
      </c>
      <c r="AZ78" s="5"/>
      <c r="BA78" s="7"/>
      <c r="BB78" s="7"/>
    </row>
    <row r="79" spans="1:54" ht="297">
      <c r="A79" s="105" t="s">
        <v>252</v>
      </c>
      <c r="B79" s="105" t="s">
        <v>252</v>
      </c>
      <c r="C79" s="105" t="s">
        <v>252</v>
      </c>
      <c r="D79" s="105" t="s">
        <v>437</v>
      </c>
      <c r="E79" s="106" t="s">
        <v>438</v>
      </c>
      <c r="F79" s="107" t="s">
        <v>255</v>
      </c>
      <c r="G79" s="108">
        <v>1</v>
      </c>
      <c r="H79" s="107"/>
      <c r="I79" s="109"/>
      <c r="J79" s="110"/>
      <c r="K79" s="111"/>
      <c r="L79" s="112"/>
      <c r="M79" s="110"/>
      <c r="N79" s="113"/>
      <c r="O79" s="113"/>
      <c r="P79" s="113"/>
      <c r="Q79" s="114" t="s">
        <v>256</v>
      </c>
      <c r="R79" s="115" t="s">
        <v>256</v>
      </c>
      <c r="S79" s="115" t="s">
        <v>256</v>
      </c>
      <c r="T79" s="115" t="s">
        <v>256</v>
      </c>
      <c r="U79" s="115" t="s">
        <v>256</v>
      </c>
      <c r="V79" s="116" t="s">
        <v>252</v>
      </c>
      <c r="W79" s="117" t="s">
        <v>252</v>
      </c>
      <c r="X79" s="118" t="s">
        <v>252</v>
      </c>
      <c r="Y79" s="119" t="s">
        <v>252</v>
      </c>
      <c r="Z79" s="120" t="s">
        <v>257</v>
      </c>
      <c r="AA79" s="121" t="s">
        <v>252</v>
      </c>
      <c r="AB79" s="121" t="s">
        <v>252</v>
      </c>
      <c r="AC79" s="121" t="s">
        <v>252</v>
      </c>
      <c r="AD79" s="122" t="s">
        <v>252</v>
      </c>
      <c r="AE79" s="123" t="s">
        <v>252</v>
      </c>
      <c r="AF79" s="123">
        <f t="shared" si="30"/>
        <v>1347710.924369748</v>
      </c>
      <c r="AG79" s="123">
        <f t="shared" si="31"/>
        <v>256065.07563025213</v>
      </c>
      <c r="AH79" s="123">
        <v>1603776</v>
      </c>
      <c r="AI79" s="124" t="s">
        <v>252</v>
      </c>
      <c r="AJ79" s="125" t="s">
        <v>252</v>
      </c>
      <c r="AK79" s="126" t="s">
        <v>252</v>
      </c>
      <c r="AL79" s="127" t="s">
        <v>252</v>
      </c>
      <c r="AM79" s="128" t="s">
        <v>258</v>
      </c>
      <c r="AN79" s="129" t="s">
        <v>252</v>
      </c>
      <c r="AO79" s="129" t="s">
        <v>252</v>
      </c>
      <c r="AP79" s="130" t="s">
        <v>252</v>
      </c>
      <c r="AQ79" s="131">
        <v>1302260</v>
      </c>
      <c r="AR79" s="132">
        <v>247429</v>
      </c>
      <c r="AS79" s="132">
        <v>1549689</v>
      </c>
      <c r="AT79" s="132">
        <v>1302260</v>
      </c>
      <c r="AU79" s="132">
        <v>1549689</v>
      </c>
      <c r="AV79" s="133">
        <f t="shared" si="27"/>
        <v>1448700</v>
      </c>
      <c r="AW79" s="133">
        <f t="shared" si="28"/>
        <v>1448700</v>
      </c>
      <c r="AX79" s="133" t="str">
        <f t="shared" si="29"/>
        <v/>
      </c>
      <c r="AY79" s="134">
        <v>2.4299999999999999E-2</v>
      </c>
      <c r="AZ79" s="5"/>
      <c r="BA79" s="7"/>
      <c r="BB79" s="7"/>
    </row>
    <row r="80" spans="1:54" ht="297">
      <c r="A80" s="105" t="s">
        <v>252</v>
      </c>
      <c r="B80" s="105" t="s">
        <v>252</v>
      </c>
      <c r="C80" s="105" t="s">
        <v>252</v>
      </c>
      <c r="D80" s="105" t="s">
        <v>439</v>
      </c>
      <c r="E80" s="106" t="s">
        <v>440</v>
      </c>
      <c r="F80" s="107" t="s">
        <v>255</v>
      </c>
      <c r="G80" s="108">
        <v>1</v>
      </c>
      <c r="H80" s="107"/>
      <c r="I80" s="109"/>
      <c r="J80" s="110"/>
      <c r="K80" s="111"/>
      <c r="L80" s="112"/>
      <c r="M80" s="110"/>
      <c r="N80" s="113"/>
      <c r="O80" s="113"/>
      <c r="P80" s="113"/>
      <c r="Q80" s="114" t="s">
        <v>256</v>
      </c>
      <c r="R80" s="115" t="s">
        <v>256</v>
      </c>
      <c r="S80" s="115" t="s">
        <v>256</v>
      </c>
      <c r="T80" s="115" t="s">
        <v>256</v>
      </c>
      <c r="U80" s="115" t="s">
        <v>256</v>
      </c>
      <c r="V80" s="116" t="s">
        <v>252</v>
      </c>
      <c r="W80" s="117" t="s">
        <v>252</v>
      </c>
      <c r="X80" s="118" t="s">
        <v>252</v>
      </c>
      <c r="Y80" s="119" t="s">
        <v>252</v>
      </c>
      <c r="Z80" s="120" t="s">
        <v>257</v>
      </c>
      <c r="AA80" s="121" t="s">
        <v>252</v>
      </c>
      <c r="AB80" s="121" t="s">
        <v>252</v>
      </c>
      <c r="AC80" s="121" t="s">
        <v>252</v>
      </c>
      <c r="AD80" s="122" t="s">
        <v>252</v>
      </c>
      <c r="AE80" s="123" t="s">
        <v>252</v>
      </c>
      <c r="AF80" s="123">
        <f t="shared" si="30"/>
        <v>121305.04201680672</v>
      </c>
      <c r="AG80" s="123">
        <f t="shared" si="31"/>
        <v>23047.957983193279</v>
      </c>
      <c r="AH80" s="123">
        <v>144353</v>
      </c>
      <c r="AI80" s="124" t="s">
        <v>252</v>
      </c>
      <c r="AJ80" s="125" t="s">
        <v>252</v>
      </c>
      <c r="AK80" s="126" t="s">
        <v>252</v>
      </c>
      <c r="AL80" s="127" t="s">
        <v>252</v>
      </c>
      <c r="AM80" s="128" t="s">
        <v>258</v>
      </c>
      <c r="AN80" s="129" t="s">
        <v>252</v>
      </c>
      <c r="AO80" s="129" t="s">
        <v>252</v>
      </c>
      <c r="AP80" s="130" t="s">
        <v>252</v>
      </c>
      <c r="AQ80" s="131">
        <v>117214</v>
      </c>
      <c r="AR80" s="132">
        <v>22271</v>
      </c>
      <c r="AS80" s="132">
        <v>139485</v>
      </c>
      <c r="AT80" s="132">
        <v>117214</v>
      </c>
      <c r="AU80" s="132">
        <v>139485</v>
      </c>
      <c r="AV80" s="133">
        <f t="shared" si="27"/>
        <v>130395</v>
      </c>
      <c r="AW80" s="133">
        <f t="shared" si="28"/>
        <v>130395</v>
      </c>
      <c r="AX80" s="133" t="str">
        <f t="shared" si="29"/>
        <v/>
      </c>
      <c r="AY80" s="134">
        <v>2.4299999999999999E-2</v>
      </c>
      <c r="AZ80" s="5"/>
      <c r="BA80" s="7"/>
      <c r="BB80" s="7"/>
    </row>
    <row r="81" spans="1:54" ht="297">
      <c r="A81" s="105" t="s">
        <v>252</v>
      </c>
      <c r="B81" s="105" t="s">
        <v>252</v>
      </c>
      <c r="C81" s="105" t="s">
        <v>252</v>
      </c>
      <c r="D81" s="105" t="s">
        <v>441</v>
      </c>
      <c r="E81" s="106" t="s">
        <v>442</v>
      </c>
      <c r="F81" s="107" t="s">
        <v>255</v>
      </c>
      <c r="G81" s="108">
        <v>1</v>
      </c>
      <c r="H81" s="107"/>
      <c r="I81" s="109"/>
      <c r="J81" s="110"/>
      <c r="K81" s="111"/>
      <c r="L81" s="112"/>
      <c r="M81" s="110"/>
      <c r="N81" s="113"/>
      <c r="O81" s="113"/>
      <c r="P81" s="113"/>
      <c r="Q81" s="114" t="s">
        <v>256</v>
      </c>
      <c r="R81" s="115" t="s">
        <v>256</v>
      </c>
      <c r="S81" s="115" t="s">
        <v>256</v>
      </c>
      <c r="T81" s="115" t="s">
        <v>256</v>
      </c>
      <c r="U81" s="115" t="s">
        <v>256</v>
      </c>
      <c r="V81" s="116" t="s">
        <v>252</v>
      </c>
      <c r="W81" s="117" t="s">
        <v>252</v>
      </c>
      <c r="X81" s="118" t="s">
        <v>252</v>
      </c>
      <c r="Y81" s="119" t="s">
        <v>252</v>
      </c>
      <c r="Z81" s="120" t="s">
        <v>257</v>
      </c>
      <c r="AA81" s="121" t="s">
        <v>252</v>
      </c>
      <c r="AB81" s="121" t="s">
        <v>252</v>
      </c>
      <c r="AC81" s="121" t="s">
        <v>252</v>
      </c>
      <c r="AD81" s="122" t="s">
        <v>252</v>
      </c>
      <c r="AE81" s="123" t="s">
        <v>252</v>
      </c>
      <c r="AF81" s="123">
        <f t="shared" si="30"/>
        <v>514745.37815126055</v>
      </c>
      <c r="AG81" s="123">
        <f t="shared" si="31"/>
        <v>97801.621848739509</v>
      </c>
      <c r="AH81" s="123">
        <v>612547</v>
      </c>
      <c r="AI81" s="124" t="s">
        <v>252</v>
      </c>
      <c r="AJ81" s="125" t="s">
        <v>252</v>
      </c>
      <c r="AK81" s="126" t="s">
        <v>252</v>
      </c>
      <c r="AL81" s="127" t="s">
        <v>252</v>
      </c>
      <c r="AM81" s="128" t="s">
        <v>258</v>
      </c>
      <c r="AN81" s="129" t="s">
        <v>252</v>
      </c>
      <c r="AO81" s="129" t="s">
        <v>252</v>
      </c>
      <c r="AP81" s="130" t="s">
        <v>252</v>
      </c>
      <c r="AQ81" s="131">
        <v>497386</v>
      </c>
      <c r="AR81" s="132">
        <v>94503</v>
      </c>
      <c r="AS81" s="132">
        <v>591889</v>
      </c>
      <c r="AT81" s="132">
        <v>497386</v>
      </c>
      <c r="AU81" s="132">
        <v>591889</v>
      </c>
      <c r="AV81" s="133">
        <f t="shared" si="27"/>
        <v>553317</v>
      </c>
      <c r="AW81" s="133">
        <f t="shared" si="28"/>
        <v>553317</v>
      </c>
      <c r="AX81" s="133" t="str">
        <f t="shared" si="29"/>
        <v/>
      </c>
      <c r="AY81" s="134">
        <v>2.4299999999999999E-2</v>
      </c>
      <c r="AZ81" s="5"/>
      <c r="BA81" s="7"/>
      <c r="BB81" s="7"/>
    </row>
    <row r="82" spans="1:54" ht="54">
      <c r="A82" s="105" t="s">
        <v>181</v>
      </c>
      <c r="B82" s="105" t="s">
        <v>259</v>
      </c>
      <c r="C82" s="105">
        <v>11111808</v>
      </c>
      <c r="D82" s="105" t="s">
        <v>443</v>
      </c>
      <c r="E82" s="106" t="s">
        <v>444</v>
      </c>
      <c r="F82" s="107" t="s">
        <v>185</v>
      </c>
      <c r="G82" s="108">
        <v>1</v>
      </c>
      <c r="H82" s="107" t="s">
        <v>186</v>
      </c>
      <c r="I82" s="109" t="s">
        <v>200</v>
      </c>
      <c r="J82" s="110">
        <v>46070</v>
      </c>
      <c r="K82" s="111" t="s">
        <v>264</v>
      </c>
      <c r="L82" s="112" t="s">
        <v>194</v>
      </c>
      <c r="M82" s="110" t="s">
        <v>265</v>
      </c>
      <c r="N82" s="113">
        <v>4000</v>
      </c>
      <c r="O82" s="113" t="s">
        <v>198</v>
      </c>
      <c r="P82" s="113" t="s">
        <v>192</v>
      </c>
      <c r="Q82" s="114">
        <f>IF(O82="IVA Incluido",(N82/1.19),N82)</f>
        <v>4000</v>
      </c>
      <c r="R82" s="115">
        <f>IF(P82="Si tiene IVA",Q82*19%,0)</f>
        <v>760</v>
      </c>
      <c r="S82" s="115">
        <f>Q82+R82</f>
        <v>4760</v>
      </c>
      <c r="T82" s="115">
        <f>IF(B82="","",(N82*G82))</f>
        <v>4000</v>
      </c>
      <c r="U82" s="115">
        <f>IF(B82="","",(S82*G82))</f>
        <v>4760</v>
      </c>
      <c r="V82" s="116" t="s">
        <v>200</v>
      </c>
      <c r="W82" s="117">
        <v>46062</v>
      </c>
      <c r="X82" s="118" t="s">
        <v>445</v>
      </c>
      <c r="Y82" s="119" t="s">
        <v>194</v>
      </c>
      <c r="Z82" s="120" t="s">
        <v>446</v>
      </c>
      <c r="AA82" s="121">
        <v>5600</v>
      </c>
      <c r="AB82" s="121" t="s">
        <v>191</v>
      </c>
      <c r="AC82" s="121" t="s">
        <v>192</v>
      </c>
      <c r="AD82" s="122">
        <f>IF(AB82="IVA Incluido",(AA82/1.19),AA82)</f>
        <v>4705.8823529411766</v>
      </c>
      <c r="AE82" s="123">
        <f>IF(AC82="Si tiene IVA",AD82*19%,0)</f>
        <v>894.11764705882354</v>
      </c>
      <c r="AF82" s="123">
        <f>AD82+AE82</f>
        <v>5600</v>
      </c>
      <c r="AG82" s="123">
        <f>IF(O82="","",(AA82*G82))</f>
        <v>5600</v>
      </c>
      <c r="AH82" s="123">
        <f>IF(O82="","",(AF82*G82))</f>
        <v>5600</v>
      </c>
      <c r="AI82" s="124" t="s">
        <v>200</v>
      </c>
      <c r="AJ82" s="125">
        <v>46064</v>
      </c>
      <c r="AK82" s="126" t="s">
        <v>447</v>
      </c>
      <c r="AL82" s="127" t="s">
        <v>194</v>
      </c>
      <c r="AM82" s="128" t="s">
        <v>448</v>
      </c>
      <c r="AN82" s="129">
        <v>5500</v>
      </c>
      <c r="AO82" s="129" t="s">
        <v>191</v>
      </c>
      <c r="AP82" s="130" t="s">
        <v>192</v>
      </c>
      <c r="AQ82" s="131">
        <f>IF(AO82="IVA Incluido",(AN82/1.19),AN82)</f>
        <v>4621.8487394957983</v>
      </c>
      <c r="AR82" s="132">
        <f>IF(AP82="Si tiene IVA",AQ82*19%,0)</f>
        <v>878.15126050420167</v>
      </c>
      <c r="AS82" s="132">
        <f>AQ82+AR82</f>
        <v>5500</v>
      </c>
      <c r="AT82" s="132">
        <f>IF(AB82="","",(AN82*G82))</f>
        <v>5500</v>
      </c>
      <c r="AU82" s="132">
        <f>IF(AB82="","",(AS82*G82))</f>
        <v>5500</v>
      </c>
      <c r="AV82" s="133">
        <f t="shared" si="27"/>
        <v>5287</v>
      </c>
      <c r="AW82" s="133">
        <f t="shared" si="28"/>
        <v>5287</v>
      </c>
      <c r="AX82" s="133">
        <f t="shared" si="29"/>
        <v>459</v>
      </c>
      <c r="AY82" s="134">
        <f>IF(N82="","",(AX82/AW82))</f>
        <v>8.6816720257234734E-2</v>
      </c>
      <c r="AZ82" s="5"/>
      <c r="BA82" s="7">
        <f>COUNTA(M82,Z82,AM82)</f>
        <v>3</v>
      </c>
      <c r="BB82" s="7"/>
    </row>
    <row r="83" spans="1:54" ht="297">
      <c r="A83" s="105" t="s">
        <v>252</v>
      </c>
      <c r="B83" s="105" t="s">
        <v>252</v>
      </c>
      <c r="C83" s="105" t="s">
        <v>252</v>
      </c>
      <c r="D83" s="105" t="s">
        <v>449</v>
      </c>
      <c r="E83" s="106" t="s">
        <v>450</v>
      </c>
      <c r="F83" s="107" t="s">
        <v>255</v>
      </c>
      <c r="G83" s="108">
        <v>1</v>
      </c>
      <c r="H83" s="107"/>
      <c r="I83" s="109"/>
      <c r="J83" s="110"/>
      <c r="K83" s="111"/>
      <c r="L83" s="112"/>
      <c r="M83" s="110"/>
      <c r="N83" s="113"/>
      <c r="O83" s="113"/>
      <c r="P83" s="113"/>
      <c r="Q83" s="114" t="s">
        <v>256</v>
      </c>
      <c r="R83" s="115" t="s">
        <v>256</v>
      </c>
      <c r="S83" s="115" t="s">
        <v>256</v>
      </c>
      <c r="T83" s="115" t="s">
        <v>256</v>
      </c>
      <c r="U83" s="115" t="s">
        <v>256</v>
      </c>
      <c r="V83" s="116" t="s">
        <v>252</v>
      </c>
      <c r="W83" s="117" t="s">
        <v>252</v>
      </c>
      <c r="X83" s="118" t="s">
        <v>252</v>
      </c>
      <c r="Y83" s="119" t="s">
        <v>252</v>
      </c>
      <c r="Z83" s="120" t="s">
        <v>257</v>
      </c>
      <c r="AA83" s="121" t="s">
        <v>252</v>
      </c>
      <c r="AB83" s="121" t="s">
        <v>252</v>
      </c>
      <c r="AC83" s="121" t="s">
        <v>252</v>
      </c>
      <c r="AD83" s="122" t="s">
        <v>252</v>
      </c>
      <c r="AE83" s="123" t="s">
        <v>252</v>
      </c>
      <c r="AF83" s="123">
        <f>AH83/1.19</f>
        <v>3503882.3529411769</v>
      </c>
      <c r="AG83" s="123">
        <f>AF83*19%</f>
        <v>665737.64705882361</v>
      </c>
      <c r="AH83" s="123">
        <v>4169620</v>
      </c>
      <c r="AI83" s="124" t="s">
        <v>252</v>
      </c>
      <c r="AJ83" s="125" t="s">
        <v>252</v>
      </c>
      <c r="AK83" s="126" t="s">
        <v>252</v>
      </c>
      <c r="AL83" s="127" t="s">
        <v>252</v>
      </c>
      <c r="AM83" s="128" t="s">
        <v>258</v>
      </c>
      <c r="AN83" s="129" t="s">
        <v>252</v>
      </c>
      <c r="AO83" s="129" t="s">
        <v>252</v>
      </c>
      <c r="AP83" s="130" t="s">
        <v>252</v>
      </c>
      <c r="AQ83" s="131">
        <v>3402311</v>
      </c>
      <c r="AR83" s="132">
        <v>646439</v>
      </c>
      <c r="AS83" s="132">
        <v>4048750</v>
      </c>
      <c r="AT83" s="132">
        <v>3402311</v>
      </c>
      <c r="AU83" s="132">
        <v>4048750</v>
      </c>
      <c r="AV83" s="133">
        <f t="shared" si="27"/>
        <v>3776316</v>
      </c>
      <c r="AW83" s="133">
        <f t="shared" si="28"/>
        <v>3776316</v>
      </c>
      <c r="AX83" s="133" t="str">
        <f t="shared" si="29"/>
        <v/>
      </c>
      <c r="AY83" s="134">
        <v>2.0799999999999999E-2</v>
      </c>
      <c r="AZ83" s="5"/>
      <c r="BA83" s="7"/>
      <c r="BB83" s="7"/>
    </row>
    <row r="84" spans="1:54" ht="297">
      <c r="A84" s="105" t="s">
        <v>252</v>
      </c>
      <c r="B84" s="105" t="s">
        <v>252</v>
      </c>
      <c r="C84" s="105" t="s">
        <v>252</v>
      </c>
      <c r="D84" s="105" t="s">
        <v>451</v>
      </c>
      <c r="E84" s="106" t="s">
        <v>452</v>
      </c>
      <c r="F84" s="107" t="s">
        <v>255</v>
      </c>
      <c r="G84" s="108">
        <v>1</v>
      </c>
      <c r="H84" s="107"/>
      <c r="I84" s="109"/>
      <c r="J84" s="110"/>
      <c r="K84" s="111"/>
      <c r="L84" s="112"/>
      <c r="M84" s="110"/>
      <c r="N84" s="113"/>
      <c r="O84" s="113"/>
      <c r="P84" s="113"/>
      <c r="Q84" s="114" t="s">
        <v>256</v>
      </c>
      <c r="R84" s="115" t="s">
        <v>256</v>
      </c>
      <c r="S84" s="115" t="s">
        <v>256</v>
      </c>
      <c r="T84" s="115" t="s">
        <v>256</v>
      </c>
      <c r="U84" s="115" t="s">
        <v>256</v>
      </c>
      <c r="V84" s="116" t="s">
        <v>252</v>
      </c>
      <c r="W84" s="117" t="s">
        <v>252</v>
      </c>
      <c r="X84" s="118" t="s">
        <v>252</v>
      </c>
      <c r="Y84" s="119" t="s">
        <v>252</v>
      </c>
      <c r="Z84" s="120" t="s">
        <v>257</v>
      </c>
      <c r="AA84" s="121" t="s">
        <v>252</v>
      </c>
      <c r="AB84" s="121" t="s">
        <v>252</v>
      </c>
      <c r="AC84" s="121" t="s">
        <v>252</v>
      </c>
      <c r="AD84" s="122" t="s">
        <v>252</v>
      </c>
      <c r="AE84" s="123" t="s">
        <v>252</v>
      </c>
      <c r="AF84" s="123">
        <f>AH84/1.19</f>
        <v>2300276.4705882352</v>
      </c>
      <c r="AG84" s="123">
        <f>AF84*19%</f>
        <v>437052.5294117647</v>
      </c>
      <c r="AH84" s="123">
        <v>2737329</v>
      </c>
      <c r="AI84" s="124" t="s">
        <v>252</v>
      </c>
      <c r="AJ84" s="125" t="s">
        <v>252</v>
      </c>
      <c r="AK84" s="126" t="s">
        <v>252</v>
      </c>
      <c r="AL84" s="127" t="s">
        <v>252</v>
      </c>
      <c r="AM84" s="128" t="s">
        <v>258</v>
      </c>
      <c r="AN84" s="129" t="s">
        <v>252</v>
      </c>
      <c r="AO84" s="129" t="s">
        <v>252</v>
      </c>
      <c r="AP84" s="130" t="s">
        <v>252</v>
      </c>
      <c r="AQ84" s="131">
        <v>2233596</v>
      </c>
      <c r="AR84" s="132">
        <v>424383</v>
      </c>
      <c r="AS84" s="132">
        <v>2657979</v>
      </c>
      <c r="AT84" s="132">
        <v>2233596</v>
      </c>
      <c r="AU84" s="132">
        <v>2657979</v>
      </c>
      <c r="AV84" s="133">
        <f t="shared" si="27"/>
        <v>2479128</v>
      </c>
      <c r="AW84" s="133">
        <f t="shared" si="28"/>
        <v>2479128</v>
      </c>
      <c r="AX84" s="133" t="str">
        <f t="shared" si="29"/>
        <v/>
      </c>
      <c r="AY84" s="134">
        <v>2.0799999999999999E-2</v>
      </c>
      <c r="AZ84" s="5"/>
      <c r="BA84" s="7"/>
      <c r="BB84" s="7"/>
    </row>
    <row r="85" spans="1:54" ht="148.5">
      <c r="A85" s="105" t="s">
        <v>181</v>
      </c>
      <c r="B85" s="105" t="s">
        <v>453</v>
      </c>
      <c r="C85" s="105" t="s">
        <v>454</v>
      </c>
      <c r="D85" s="105" t="s">
        <v>455</v>
      </c>
      <c r="E85" s="106" t="s">
        <v>456</v>
      </c>
      <c r="F85" s="107" t="s">
        <v>185</v>
      </c>
      <c r="G85" s="108">
        <v>1</v>
      </c>
      <c r="H85" s="107" t="s">
        <v>288</v>
      </c>
      <c r="I85" s="109" t="s">
        <v>457</v>
      </c>
      <c r="J85" s="110">
        <v>46149</v>
      </c>
      <c r="K85" s="111" t="s">
        <v>458</v>
      </c>
      <c r="L85" s="112" t="s">
        <v>189</v>
      </c>
      <c r="M85" s="110" t="s">
        <v>459</v>
      </c>
      <c r="N85" s="113">
        <v>2200000</v>
      </c>
      <c r="O85" s="113" t="s">
        <v>198</v>
      </c>
      <c r="P85" s="113" t="s">
        <v>192</v>
      </c>
      <c r="Q85" s="114">
        <f>IF(O85="IVA Incluido",(N85/1.19),N85)</f>
        <v>2200000</v>
      </c>
      <c r="R85" s="115">
        <f>IF(P85="Si tiene IVA",Q85*19%,0)</f>
        <v>418000</v>
      </c>
      <c r="S85" s="115">
        <f>Q85+R85</f>
        <v>2618000</v>
      </c>
      <c r="T85" s="115">
        <f>IF(B85="","",(N85*G85))</f>
        <v>2200000</v>
      </c>
      <c r="U85" s="115">
        <f>IF(B85="","",(S85*G85))</f>
        <v>2618000</v>
      </c>
      <c r="V85" s="116" t="s">
        <v>187</v>
      </c>
      <c r="W85" s="117">
        <v>46078</v>
      </c>
      <c r="X85" s="118" t="s">
        <v>460</v>
      </c>
      <c r="Y85" s="119" t="s">
        <v>189</v>
      </c>
      <c r="Z85" s="120" t="s">
        <v>461</v>
      </c>
      <c r="AA85" s="121">
        <v>1848742</v>
      </c>
      <c r="AB85" s="121" t="s">
        <v>198</v>
      </c>
      <c r="AC85" s="121" t="s">
        <v>192</v>
      </c>
      <c r="AD85" s="122">
        <f>IF(AB85="IVA Incluido",(AA85/1.19),AA85)</f>
        <v>1848742</v>
      </c>
      <c r="AE85" s="123">
        <f>IF(AC85="Si tiene IVA",AD85*19%,0)</f>
        <v>351260.98</v>
      </c>
      <c r="AF85" s="123">
        <f>AD85+AE85</f>
        <v>2200002.98</v>
      </c>
      <c r="AG85" s="123">
        <f>IF(O85="","",(AA85*G85))</f>
        <v>1848742</v>
      </c>
      <c r="AH85" s="123">
        <f>IF(O85="","",(AF85*G85))</f>
        <v>2200002.98</v>
      </c>
      <c r="AI85" s="124" t="s">
        <v>200</v>
      </c>
      <c r="AJ85" s="125">
        <v>46142</v>
      </c>
      <c r="AK85" s="126" t="s">
        <v>462</v>
      </c>
      <c r="AL85" s="127" t="s">
        <v>189</v>
      </c>
      <c r="AM85" s="128" t="s">
        <v>463</v>
      </c>
      <c r="AN85" s="129">
        <v>1583193</v>
      </c>
      <c r="AO85" s="129" t="s">
        <v>198</v>
      </c>
      <c r="AP85" s="130" t="s">
        <v>192</v>
      </c>
      <c r="AQ85" s="131">
        <f>IF(AO85="IVA Incluido",(AN85/1.19),AN85)</f>
        <v>1583193</v>
      </c>
      <c r="AR85" s="132">
        <f>IF(AP85="Si tiene IVA",AQ85*19%,0)</f>
        <v>300806.67</v>
      </c>
      <c r="AS85" s="132">
        <f>AQ85+AR85</f>
        <v>1883999.67</v>
      </c>
      <c r="AT85" s="132">
        <f>IF(AB85="","",(AN85*G85))</f>
        <v>1583193</v>
      </c>
      <c r="AU85" s="132">
        <f>IF(AB85="","",(AS85*G85))</f>
        <v>1883999.67</v>
      </c>
      <c r="AV85" s="133">
        <f t="shared" si="27"/>
        <v>2234001</v>
      </c>
      <c r="AW85" s="133">
        <f t="shared" si="28"/>
        <v>2234001</v>
      </c>
      <c r="AX85" s="133">
        <f t="shared" si="29"/>
        <v>368179</v>
      </c>
      <c r="AY85" s="134">
        <f>IF(N85="","",(AX85/AW85))</f>
        <v>0.16480699874350996</v>
      </c>
      <c r="AZ85" s="5"/>
      <c r="BA85" s="7">
        <f>COUNTA(M85,Z85,AM85)</f>
        <v>3</v>
      </c>
      <c r="BB85" s="7"/>
    </row>
    <row r="86" spans="1:54" ht="297">
      <c r="A86" s="105" t="s">
        <v>252</v>
      </c>
      <c r="B86" s="105" t="s">
        <v>252</v>
      </c>
      <c r="C86" s="105" t="s">
        <v>252</v>
      </c>
      <c r="D86" s="105" t="s">
        <v>464</v>
      </c>
      <c r="E86" s="106" t="s">
        <v>465</v>
      </c>
      <c r="F86" s="107" t="s">
        <v>255</v>
      </c>
      <c r="G86" s="108">
        <v>1</v>
      </c>
      <c r="H86" s="107"/>
      <c r="I86" s="109"/>
      <c r="J86" s="110"/>
      <c r="K86" s="111"/>
      <c r="L86" s="112"/>
      <c r="M86" s="110"/>
      <c r="N86" s="113"/>
      <c r="O86" s="113"/>
      <c r="P86" s="113"/>
      <c r="Q86" s="114" t="s">
        <v>256</v>
      </c>
      <c r="R86" s="115" t="s">
        <v>256</v>
      </c>
      <c r="S86" s="115" t="s">
        <v>256</v>
      </c>
      <c r="T86" s="115" t="s">
        <v>256</v>
      </c>
      <c r="U86" s="115" t="s">
        <v>256</v>
      </c>
      <c r="V86" s="116" t="s">
        <v>252</v>
      </c>
      <c r="W86" s="117" t="s">
        <v>252</v>
      </c>
      <c r="X86" s="118" t="s">
        <v>252</v>
      </c>
      <c r="Y86" s="119" t="s">
        <v>252</v>
      </c>
      <c r="Z86" s="120" t="s">
        <v>257</v>
      </c>
      <c r="AA86" s="121" t="s">
        <v>252</v>
      </c>
      <c r="AB86" s="121" t="s">
        <v>252</v>
      </c>
      <c r="AC86" s="121" t="s">
        <v>252</v>
      </c>
      <c r="AD86" s="122" t="s">
        <v>252</v>
      </c>
      <c r="AE86" s="123" t="s">
        <v>252</v>
      </c>
      <c r="AF86" s="123">
        <f>AH86/1.19</f>
        <v>1563573.9495798319</v>
      </c>
      <c r="AG86" s="123">
        <f>AF86*19%</f>
        <v>297079.05042016809</v>
      </c>
      <c r="AH86" s="123">
        <v>1860653</v>
      </c>
      <c r="AI86" s="124" t="s">
        <v>252</v>
      </c>
      <c r="AJ86" s="125" t="s">
        <v>252</v>
      </c>
      <c r="AK86" s="126" t="s">
        <v>252</v>
      </c>
      <c r="AL86" s="127" t="s">
        <v>252</v>
      </c>
      <c r="AM86" s="128" t="s">
        <v>258</v>
      </c>
      <c r="AN86" s="129" t="s">
        <v>252</v>
      </c>
      <c r="AO86" s="129" t="s">
        <v>252</v>
      </c>
      <c r="AP86" s="130" t="s">
        <v>252</v>
      </c>
      <c r="AQ86" s="131">
        <v>1518249</v>
      </c>
      <c r="AR86" s="132">
        <v>288467</v>
      </c>
      <c r="AS86" s="132">
        <v>1806716</v>
      </c>
      <c r="AT86" s="132">
        <v>1518249</v>
      </c>
      <c r="AU86" s="132">
        <v>1806716</v>
      </c>
      <c r="AV86" s="133">
        <f t="shared" si="27"/>
        <v>1685145</v>
      </c>
      <c r="AW86" s="133">
        <f t="shared" si="28"/>
        <v>1685145</v>
      </c>
      <c r="AX86" s="133" t="str">
        <f t="shared" si="29"/>
        <v/>
      </c>
      <c r="AY86" s="134">
        <v>2.0799999999999999E-2</v>
      </c>
      <c r="AZ86" s="5"/>
      <c r="BA86" s="7"/>
      <c r="BB86" s="7"/>
    </row>
    <row r="87" spans="1:54" ht="135">
      <c r="A87" s="105" t="s">
        <v>181</v>
      </c>
      <c r="B87" s="105" t="s">
        <v>453</v>
      </c>
      <c r="C87" s="105" t="s">
        <v>454</v>
      </c>
      <c r="D87" s="105" t="s">
        <v>466</v>
      </c>
      <c r="E87" s="106" t="s">
        <v>467</v>
      </c>
      <c r="F87" s="107" t="s">
        <v>185</v>
      </c>
      <c r="G87" s="108">
        <v>1</v>
      </c>
      <c r="H87" s="107" t="s">
        <v>288</v>
      </c>
      <c r="I87" s="109" t="s">
        <v>381</v>
      </c>
      <c r="J87" s="110">
        <v>46056</v>
      </c>
      <c r="K87" s="111" t="s">
        <v>382</v>
      </c>
      <c r="L87" s="112" t="s">
        <v>194</v>
      </c>
      <c r="M87" s="110" t="s">
        <v>278</v>
      </c>
      <c r="N87" s="113">
        <v>3150000</v>
      </c>
      <c r="O87" s="113" t="s">
        <v>198</v>
      </c>
      <c r="P87" s="113" t="s">
        <v>192</v>
      </c>
      <c r="Q87" s="114">
        <f t="shared" ref="Q87:Q104" si="32">IF(O87="IVA Incluido",(N87/1.19),N87)</f>
        <v>3150000</v>
      </c>
      <c r="R87" s="115">
        <f t="shared" ref="R87:R95" si="33">IF(P87="Si tiene IVA",Q87*19%,0)</f>
        <v>598500</v>
      </c>
      <c r="S87" s="115">
        <f t="shared" ref="S87:S104" si="34">Q87+R87</f>
        <v>3748500</v>
      </c>
      <c r="T87" s="115">
        <f t="shared" ref="T87:T104" si="35">IF(B87="","",(N87*G87))</f>
        <v>3150000</v>
      </c>
      <c r="U87" s="115">
        <f t="shared" ref="U87:U104" si="36">IF(B87="","",(S87*G87))</f>
        <v>3748500</v>
      </c>
      <c r="V87" s="116" t="s">
        <v>200</v>
      </c>
      <c r="W87" s="117">
        <v>46142</v>
      </c>
      <c r="X87" s="118" t="s">
        <v>371</v>
      </c>
      <c r="Y87" s="119" t="s">
        <v>189</v>
      </c>
      <c r="Z87" s="120" t="s">
        <v>468</v>
      </c>
      <c r="AA87" s="121">
        <v>3200000</v>
      </c>
      <c r="AB87" s="121" t="s">
        <v>198</v>
      </c>
      <c r="AC87" s="121" t="s">
        <v>192</v>
      </c>
      <c r="AD87" s="122">
        <f t="shared" ref="AD87:AD104" si="37">IF(AB87="IVA Incluido",(AA87/1.19),AA87)</f>
        <v>3200000</v>
      </c>
      <c r="AE87" s="123">
        <f t="shared" ref="AE87:AE104" si="38">IF(AC87="Si tiene IVA",AD87*19%,0)</f>
        <v>608000</v>
      </c>
      <c r="AF87" s="123">
        <f t="shared" ref="AF87:AF104" si="39">AD87+AE87</f>
        <v>3808000</v>
      </c>
      <c r="AG87" s="123">
        <f t="shared" ref="AG87:AG104" si="40">IF(O87="","",(AA87*G87))</f>
        <v>3200000</v>
      </c>
      <c r="AH87" s="123">
        <f t="shared" ref="AH87:AH104" si="41">IF(O87="","",(AF87*G87))</f>
        <v>3808000</v>
      </c>
      <c r="AI87" s="124" t="s">
        <v>469</v>
      </c>
      <c r="AJ87" s="125">
        <v>46132</v>
      </c>
      <c r="AK87" s="126" t="s">
        <v>470</v>
      </c>
      <c r="AL87" s="127" t="s">
        <v>189</v>
      </c>
      <c r="AM87" s="128" t="s">
        <v>471</v>
      </c>
      <c r="AN87" s="129">
        <v>2865546.22</v>
      </c>
      <c r="AO87" s="129" t="s">
        <v>198</v>
      </c>
      <c r="AP87" s="130" t="s">
        <v>192</v>
      </c>
      <c r="AQ87" s="131">
        <f t="shared" ref="AQ87:AQ104" si="42">IF(AO87="IVA Incluido",(AN87/1.19),AN87)</f>
        <v>2865546.22</v>
      </c>
      <c r="AR87" s="132">
        <f t="shared" ref="AR87:AR104" si="43">IF(AP87="Si tiene IVA",AQ87*19%,0)</f>
        <v>544453.7818</v>
      </c>
      <c r="AS87" s="132">
        <f t="shared" ref="AS87:AS104" si="44">AQ87+AR87</f>
        <v>3410000.0018000002</v>
      </c>
      <c r="AT87" s="132">
        <f t="shared" ref="AT87:AT104" si="45">IF(AB87="","",(AN87*G87))</f>
        <v>2865546.22</v>
      </c>
      <c r="AU87" s="132">
        <f t="shared" ref="AU87:AU104" si="46">IF(AB87="","",(AS87*G87))</f>
        <v>3410000.0018000002</v>
      </c>
      <c r="AV87" s="133">
        <f t="shared" si="27"/>
        <v>3655500</v>
      </c>
      <c r="AW87" s="133">
        <f t="shared" si="28"/>
        <v>3655500</v>
      </c>
      <c r="AX87" s="133">
        <f t="shared" si="29"/>
        <v>214681</v>
      </c>
      <c r="AY87" s="134">
        <f t="shared" ref="AY87:AY104" si="47">IF(N87="","",(AX87/AW87))</f>
        <v>5.8728217754069209E-2</v>
      </c>
      <c r="AZ87" s="5"/>
      <c r="BA87" s="7">
        <f t="shared" ref="BA87:BA104" si="48">COUNTA(M87,Z87,AM87)</f>
        <v>3</v>
      </c>
      <c r="BB87" s="7"/>
    </row>
    <row r="88" spans="1:54" ht="108">
      <c r="A88" s="105" t="s">
        <v>181</v>
      </c>
      <c r="B88" s="105" t="s">
        <v>259</v>
      </c>
      <c r="C88" s="105"/>
      <c r="D88" s="105" t="s">
        <v>472</v>
      </c>
      <c r="E88" s="106" t="s">
        <v>473</v>
      </c>
      <c r="F88" s="107" t="s">
        <v>185</v>
      </c>
      <c r="G88" s="108">
        <v>1</v>
      </c>
      <c r="H88" s="107" t="s">
        <v>186</v>
      </c>
      <c r="I88" s="109" t="s">
        <v>200</v>
      </c>
      <c r="J88" s="110">
        <v>46069</v>
      </c>
      <c r="K88" s="111" t="s">
        <v>474</v>
      </c>
      <c r="L88" s="112" t="s">
        <v>194</v>
      </c>
      <c r="M88" s="110" t="s">
        <v>475</v>
      </c>
      <c r="N88" s="113">
        <v>10990</v>
      </c>
      <c r="O88" s="113" t="s">
        <v>191</v>
      </c>
      <c r="P88" s="113" t="s">
        <v>192</v>
      </c>
      <c r="Q88" s="114">
        <f t="shared" si="32"/>
        <v>9235.2941176470595</v>
      </c>
      <c r="R88" s="115">
        <f t="shared" si="33"/>
        <v>1754.7058823529412</v>
      </c>
      <c r="S88" s="115">
        <f t="shared" si="34"/>
        <v>10990</v>
      </c>
      <c r="T88" s="115">
        <f t="shared" si="35"/>
        <v>10990</v>
      </c>
      <c r="U88" s="115">
        <f t="shared" si="36"/>
        <v>10990</v>
      </c>
      <c r="V88" s="116" t="s">
        <v>200</v>
      </c>
      <c r="W88" s="117">
        <v>46069</v>
      </c>
      <c r="X88" s="118" t="s">
        <v>476</v>
      </c>
      <c r="Y88" s="119" t="s">
        <v>194</v>
      </c>
      <c r="Z88" s="120" t="s">
        <v>477</v>
      </c>
      <c r="AA88" s="121">
        <v>10725</v>
      </c>
      <c r="AB88" s="121" t="s">
        <v>191</v>
      </c>
      <c r="AC88" s="121" t="s">
        <v>192</v>
      </c>
      <c r="AD88" s="122">
        <f t="shared" si="37"/>
        <v>9012.6050420168067</v>
      </c>
      <c r="AE88" s="123">
        <f t="shared" si="38"/>
        <v>1712.3949579831933</v>
      </c>
      <c r="AF88" s="123">
        <f t="shared" si="39"/>
        <v>10725</v>
      </c>
      <c r="AG88" s="123">
        <f t="shared" si="40"/>
        <v>10725</v>
      </c>
      <c r="AH88" s="123">
        <f t="shared" si="41"/>
        <v>10725</v>
      </c>
      <c r="AI88" s="124" t="s">
        <v>200</v>
      </c>
      <c r="AJ88" s="125">
        <v>46069</v>
      </c>
      <c r="AK88" s="126" t="s">
        <v>478</v>
      </c>
      <c r="AL88" s="127" t="s">
        <v>194</v>
      </c>
      <c r="AM88" s="128" t="s">
        <v>479</v>
      </c>
      <c r="AN88" s="129">
        <v>9990</v>
      </c>
      <c r="AO88" s="129" t="s">
        <v>191</v>
      </c>
      <c r="AP88" s="130" t="s">
        <v>192</v>
      </c>
      <c r="AQ88" s="131">
        <f t="shared" si="42"/>
        <v>8394.957983193277</v>
      </c>
      <c r="AR88" s="132">
        <f t="shared" si="43"/>
        <v>1595.0420168067226</v>
      </c>
      <c r="AS88" s="132">
        <f t="shared" si="44"/>
        <v>9990</v>
      </c>
      <c r="AT88" s="132">
        <f t="shared" si="45"/>
        <v>9990</v>
      </c>
      <c r="AU88" s="132">
        <f t="shared" si="46"/>
        <v>9990</v>
      </c>
      <c r="AV88" s="133">
        <f t="shared" si="27"/>
        <v>10568</v>
      </c>
      <c r="AW88" s="133">
        <f t="shared" si="28"/>
        <v>10568</v>
      </c>
      <c r="AX88" s="133">
        <f t="shared" si="29"/>
        <v>518</v>
      </c>
      <c r="AY88" s="134">
        <f t="shared" si="47"/>
        <v>4.9015897047691145E-2</v>
      </c>
      <c r="AZ88" s="5"/>
      <c r="BA88" s="7">
        <f t="shared" si="48"/>
        <v>3</v>
      </c>
      <c r="BB88" s="7"/>
    </row>
    <row r="89" spans="1:54" ht="67.5">
      <c r="A89" s="105" t="s">
        <v>181</v>
      </c>
      <c r="B89" s="105" t="s">
        <v>259</v>
      </c>
      <c r="C89" s="105">
        <v>14111531</v>
      </c>
      <c r="D89" s="105" t="s">
        <v>480</v>
      </c>
      <c r="E89" s="106" t="s">
        <v>481</v>
      </c>
      <c r="F89" s="107" t="s">
        <v>185</v>
      </c>
      <c r="G89" s="108">
        <v>1</v>
      </c>
      <c r="H89" s="107" t="s">
        <v>186</v>
      </c>
      <c r="I89" s="109" t="s">
        <v>200</v>
      </c>
      <c r="J89" s="110">
        <v>46069</v>
      </c>
      <c r="K89" s="111" t="s">
        <v>447</v>
      </c>
      <c r="L89" s="112" t="s">
        <v>194</v>
      </c>
      <c r="M89" s="110" t="s">
        <v>482</v>
      </c>
      <c r="N89" s="113">
        <v>11000</v>
      </c>
      <c r="O89" s="113" t="s">
        <v>191</v>
      </c>
      <c r="P89" s="113" t="s">
        <v>192</v>
      </c>
      <c r="Q89" s="114">
        <f t="shared" si="32"/>
        <v>9243.6974789915967</v>
      </c>
      <c r="R89" s="115">
        <f t="shared" si="33"/>
        <v>1756.3025210084033</v>
      </c>
      <c r="S89" s="115">
        <f t="shared" si="34"/>
        <v>11000</v>
      </c>
      <c r="T89" s="115">
        <f t="shared" si="35"/>
        <v>11000</v>
      </c>
      <c r="U89" s="115">
        <f t="shared" si="36"/>
        <v>11000</v>
      </c>
      <c r="V89" s="116" t="s">
        <v>200</v>
      </c>
      <c r="W89" s="117">
        <v>46069</v>
      </c>
      <c r="X89" s="118" t="s">
        <v>445</v>
      </c>
      <c r="Y89" s="119" t="s">
        <v>194</v>
      </c>
      <c r="Z89" s="120" t="s">
        <v>483</v>
      </c>
      <c r="AA89" s="121">
        <v>9400</v>
      </c>
      <c r="AB89" s="121" t="s">
        <v>191</v>
      </c>
      <c r="AC89" s="121" t="s">
        <v>192</v>
      </c>
      <c r="AD89" s="122">
        <f t="shared" si="37"/>
        <v>7899.1596638655465</v>
      </c>
      <c r="AE89" s="123">
        <f t="shared" si="38"/>
        <v>1500.8403361344538</v>
      </c>
      <c r="AF89" s="123">
        <f t="shared" si="39"/>
        <v>9400</v>
      </c>
      <c r="AG89" s="123">
        <f t="shared" si="40"/>
        <v>9400</v>
      </c>
      <c r="AH89" s="123">
        <f t="shared" si="41"/>
        <v>9400</v>
      </c>
      <c r="AI89" s="124" t="s">
        <v>200</v>
      </c>
      <c r="AJ89" s="125">
        <v>46069</v>
      </c>
      <c r="AK89" s="126" t="s">
        <v>484</v>
      </c>
      <c r="AL89" s="127" t="s">
        <v>194</v>
      </c>
      <c r="AM89" s="128" t="s">
        <v>485</v>
      </c>
      <c r="AN89" s="129">
        <v>11900</v>
      </c>
      <c r="AO89" s="129" t="s">
        <v>191</v>
      </c>
      <c r="AP89" s="130" t="s">
        <v>192</v>
      </c>
      <c r="AQ89" s="131">
        <f t="shared" si="42"/>
        <v>10000</v>
      </c>
      <c r="AR89" s="132">
        <f t="shared" si="43"/>
        <v>1900</v>
      </c>
      <c r="AS89" s="132">
        <f t="shared" si="44"/>
        <v>11900</v>
      </c>
      <c r="AT89" s="132">
        <f t="shared" si="45"/>
        <v>11900</v>
      </c>
      <c r="AU89" s="132">
        <f t="shared" si="46"/>
        <v>11900</v>
      </c>
      <c r="AV89" s="133">
        <f t="shared" si="27"/>
        <v>10767</v>
      </c>
      <c r="AW89" s="133">
        <f t="shared" si="28"/>
        <v>10767</v>
      </c>
      <c r="AX89" s="133">
        <f t="shared" si="29"/>
        <v>1266</v>
      </c>
      <c r="AY89" s="134">
        <f t="shared" si="47"/>
        <v>0.11758149902479799</v>
      </c>
      <c r="AZ89" s="5"/>
      <c r="BA89" s="7">
        <f t="shared" si="48"/>
        <v>3</v>
      </c>
      <c r="BB89" s="7"/>
    </row>
    <row r="90" spans="1:54" ht="67.5">
      <c r="A90" s="105" t="s">
        <v>181</v>
      </c>
      <c r="B90" s="105" t="s">
        <v>259</v>
      </c>
      <c r="C90" s="105">
        <v>14111514</v>
      </c>
      <c r="D90" s="105" t="s">
        <v>486</v>
      </c>
      <c r="E90" s="106" t="s">
        <v>487</v>
      </c>
      <c r="F90" s="107" t="s">
        <v>185</v>
      </c>
      <c r="G90" s="108">
        <v>1</v>
      </c>
      <c r="H90" s="107" t="s">
        <v>186</v>
      </c>
      <c r="I90" s="109" t="s">
        <v>200</v>
      </c>
      <c r="J90" s="110">
        <v>46070</v>
      </c>
      <c r="K90" s="111" t="s">
        <v>264</v>
      </c>
      <c r="L90" s="112" t="s">
        <v>194</v>
      </c>
      <c r="M90" s="110" t="s">
        <v>265</v>
      </c>
      <c r="N90" s="113">
        <v>2700</v>
      </c>
      <c r="O90" s="113" t="s">
        <v>198</v>
      </c>
      <c r="P90" s="113" t="s">
        <v>192</v>
      </c>
      <c r="Q90" s="114">
        <f t="shared" si="32"/>
        <v>2700</v>
      </c>
      <c r="R90" s="115">
        <f t="shared" si="33"/>
        <v>513</v>
      </c>
      <c r="S90" s="115">
        <f t="shared" si="34"/>
        <v>3213</v>
      </c>
      <c r="T90" s="115">
        <f t="shared" si="35"/>
        <v>2700</v>
      </c>
      <c r="U90" s="115">
        <f t="shared" si="36"/>
        <v>3213</v>
      </c>
      <c r="V90" s="116" t="s">
        <v>200</v>
      </c>
      <c r="W90" s="117">
        <v>46070</v>
      </c>
      <c r="X90" s="118" t="s">
        <v>488</v>
      </c>
      <c r="Y90" s="119" t="s">
        <v>194</v>
      </c>
      <c r="Z90" s="120" t="s">
        <v>489</v>
      </c>
      <c r="AA90" s="121">
        <v>2706</v>
      </c>
      <c r="AB90" s="121" t="s">
        <v>191</v>
      </c>
      <c r="AC90" s="121" t="s">
        <v>192</v>
      </c>
      <c r="AD90" s="122">
        <f t="shared" si="37"/>
        <v>2273.9495798319331</v>
      </c>
      <c r="AE90" s="123">
        <f t="shared" si="38"/>
        <v>432.05042016806726</v>
      </c>
      <c r="AF90" s="123">
        <f t="shared" si="39"/>
        <v>2706.0000000000005</v>
      </c>
      <c r="AG90" s="123">
        <f t="shared" si="40"/>
        <v>2706</v>
      </c>
      <c r="AH90" s="123">
        <f t="shared" si="41"/>
        <v>2706.0000000000005</v>
      </c>
      <c r="AI90" s="124" t="s">
        <v>200</v>
      </c>
      <c r="AJ90" s="125">
        <v>46070</v>
      </c>
      <c r="AK90" s="126" t="s">
        <v>490</v>
      </c>
      <c r="AL90" s="127" t="s">
        <v>194</v>
      </c>
      <c r="AM90" s="128" t="s">
        <v>491</v>
      </c>
      <c r="AN90" s="129">
        <v>3026</v>
      </c>
      <c r="AO90" s="129" t="s">
        <v>198</v>
      </c>
      <c r="AP90" s="130" t="s">
        <v>192</v>
      </c>
      <c r="AQ90" s="131">
        <f t="shared" si="42"/>
        <v>3026</v>
      </c>
      <c r="AR90" s="132">
        <f t="shared" si="43"/>
        <v>574.94000000000005</v>
      </c>
      <c r="AS90" s="132">
        <f t="shared" si="44"/>
        <v>3600.94</v>
      </c>
      <c r="AT90" s="132">
        <f t="shared" si="45"/>
        <v>3026</v>
      </c>
      <c r="AU90" s="132">
        <f t="shared" si="46"/>
        <v>3600.94</v>
      </c>
      <c r="AV90" s="133">
        <f t="shared" si="27"/>
        <v>3173</v>
      </c>
      <c r="AW90" s="133">
        <f t="shared" si="28"/>
        <v>3173</v>
      </c>
      <c r="AX90" s="133">
        <f t="shared" si="29"/>
        <v>449</v>
      </c>
      <c r="AY90" s="134">
        <f t="shared" si="47"/>
        <v>0.14150646076268517</v>
      </c>
      <c r="AZ90" s="5"/>
      <c r="BA90" s="7">
        <f t="shared" si="48"/>
        <v>3</v>
      </c>
      <c r="BB90" s="7"/>
    </row>
    <row r="91" spans="1:54" ht="67.5">
      <c r="A91" s="105" t="s">
        <v>181</v>
      </c>
      <c r="B91" s="105" t="s">
        <v>259</v>
      </c>
      <c r="C91" s="105">
        <v>14111514</v>
      </c>
      <c r="D91" s="105" t="s">
        <v>492</v>
      </c>
      <c r="E91" s="106" t="s">
        <v>493</v>
      </c>
      <c r="F91" s="107" t="s">
        <v>185</v>
      </c>
      <c r="G91" s="108">
        <v>1</v>
      </c>
      <c r="H91" s="107" t="s">
        <v>186</v>
      </c>
      <c r="I91" s="109" t="s">
        <v>200</v>
      </c>
      <c r="J91" s="110">
        <v>46070</v>
      </c>
      <c r="K91" s="111" t="s">
        <v>488</v>
      </c>
      <c r="L91" s="112" t="s">
        <v>194</v>
      </c>
      <c r="M91" s="110" t="s">
        <v>489</v>
      </c>
      <c r="N91" s="113">
        <v>2898</v>
      </c>
      <c r="O91" s="113" t="s">
        <v>198</v>
      </c>
      <c r="P91" s="113" t="s">
        <v>192</v>
      </c>
      <c r="Q91" s="114">
        <f t="shared" si="32"/>
        <v>2898</v>
      </c>
      <c r="R91" s="115">
        <f t="shared" si="33"/>
        <v>550.62</v>
      </c>
      <c r="S91" s="115">
        <f t="shared" si="34"/>
        <v>3448.62</v>
      </c>
      <c r="T91" s="115">
        <f t="shared" si="35"/>
        <v>2898</v>
      </c>
      <c r="U91" s="115">
        <f t="shared" si="36"/>
        <v>3448.62</v>
      </c>
      <c r="V91" s="116" t="s">
        <v>200</v>
      </c>
      <c r="W91" s="117">
        <v>46070</v>
      </c>
      <c r="X91" s="118" t="s">
        <v>264</v>
      </c>
      <c r="Y91" s="119" t="s">
        <v>194</v>
      </c>
      <c r="Z91" s="120" t="s">
        <v>265</v>
      </c>
      <c r="AA91" s="121">
        <v>3400</v>
      </c>
      <c r="AB91" s="121" t="s">
        <v>198</v>
      </c>
      <c r="AC91" s="121" t="s">
        <v>192</v>
      </c>
      <c r="AD91" s="122">
        <f t="shared" si="37"/>
        <v>3400</v>
      </c>
      <c r="AE91" s="123">
        <f t="shared" si="38"/>
        <v>646</v>
      </c>
      <c r="AF91" s="123">
        <f t="shared" si="39"/>
        <v>4046</v>
      </c>
      <c r="AG91" s="123">
        <f t="shared" si="40"/>
        <v>3400</v>
      </c>
      <c r="AH91" s="123">
        <f t="shared" si="41"/>
        <v>4046</v>
      </c>
      <c r="AI91" s="124" t="s">
        <v>200</v>
      </c>
      <c r="AJ91" s="125">
        <v>46070</v>
      </c>
      <c r="AK91" s="126" t="s">
        <v>490</v>
      </c>
      <c r="AL91" s="127" t="s">
        <v>194</v>
      </c>
      <c r="AM91" s="128" t="s">
        <v>491</v>
      </c>
      <c r="AN91" s="129">
        <v>3361</v>
      </c>
      <c r="AO91" s="129" t="s">
        <v>198</v>
      </c>
      <c r="AP91" s="130" t="s">
        <v>192</v>
      </c>
      <c r="AQ91" s="131">
        <f t="shared" si="42"/>
        <v>3361</v>
      </c>
      <c r="AR91" s="132">
        <f t="shared" si="43"/>
        <v>638.59</v>
      </c>
      <c r="AS91" s="132">
        <f t="shared" si="44"/>
        <v>3999.59</v>
      </c>
      <c r="AT91" s="132">
        <f t="shared" si="45"/>
        <v>3361</v>
      </c>
      <c r="AU91" s="132">
        <f t="shared" si="46"/>
        <v>3999.59</v>
      </c>
      <c r="AV91" s="133">
        <f t="shared" si="27"/>
        <v>3831</v>
      </c>
      <c r="AW91" s="133">
        <f t="shared" si="28"/>
        <v>3831</v>
      </c>
      <c r="AX91" s="133">
        <f t="shared" si="29"/>
        <v>332</v>
      </c>
      <c r="AY91" s="134">
        <f t="shared" si="47"/>
        <v>8.6661446097624648E-2</v>
      </c>
      <c r="AZ91" s="5"/>
      <c r="BA91" s="7">
        <f t="shared" si="48"/>
        <v>3</v>
      </c>
      <c r="BB91" s="7"/>
    </row>
    <row r="92" spans="1:54" ht="54">
      <c r="A92" s="105" t="s">
        <v>181</v>
      </c>
      <c r="B92" s="105" t="s">
        <v>259</v>
      </c>
      <c r="C92" s="105">
        <v>60121109</v>
      </c>
      <c r="D92" s="105" t="s">
        <v>494</v>
      </c>
      <c r="E92" s="106" t="s">
        <v>495</v>
      </c>
      <c r="F92" s="107" t="s">
        <v>185</v>
      </c>
      <c r="G92" s="108">
        <v>1</v>
      </c>
      <c r="H92" s="107" t="s">
        <v>186</v>
      </c>
      <c r="I92" s="109" t="s">
        <v>200</v>
      </c>
      <c r="J92" s="110">
        <v>46069</v>
      </c>
      <c r="K92" s="111" t="s">
        <v>496</v>
      </c>
      <c r="L92" s="112" t="s">
        <v>194</v>
      </c>
      <c r="M92" s="110" t="s">
        <v>489</v>
      </c>
      <c r="N92" s="113">
        <v>49411</v>
      </c>
      <c r="O92" s="113" t="s">
        <v>198</v>
      </c>
      <c r="P92" s="113" t="s">
        <v>192</v>
      </c>
      <c r="Q92" s="114">
        <f t="shared" si="32"/>
        <v>49411</v>
      </c>
      <c r="R92" s="115">
        <f t="shared" si="33"/>
        <v>9388.09</v>
      </c>
      <c r="S92" s="115">
        <f t="shared" si="34"/>
        <v>58799.09</v>
      </c>
      <c r="T92" s="115">
        <f t="shared" si="35"/>
        <v>49411</v>
      </c>
      <c r="U92" s="115">
        <f t="shared" si="36"/>
        <v>58799.09</v>
      </c>
      <c r="V92" s="116" t="s">
        <v>200</v>
      </c>
      <c r="W92" s="117">
        <v>46069</v>
      </c>
      <c r="X92" s="118" t="s">
        <v>264</v>
      </c>
      <c r="Y92" s="119" t="s">
        <v>194</v>
      </c>
      <c r="Z92" s="120" t="s">
        <v>497</v>
      </c>
      <c r="AA92" s="121">
        <v>45900</v>
      </c>
      <c r="AB92" s="121" t="s">
        <v>198</v>
      </c>
      <c r="AC92" s="121" t="s">
        <v>192</v>
      </c>
      <c r="AD92" s="122">
        <f t="shared" si="37"/>
        <v>45900</v>
      </c>
      <c r="AE92" s="123">
        <f t="shared" si="38"/>
        <v>8721</v>
      </c>
      <c r="AF92" s="123">
        <f t="shared" si="39"/>
        <v>54621</v>
      </c>
      <c r="AG92" s="123">
        <f t="shared" si="40"/>
        <v>45900</v>
      </c>
      <c r="AH92" s="123">
        <f t="shared" si="41"/>
        <v>54621</v>
      </c>
      <c r="AI92" s="124" t="s">
        <v>200</v>
      </c>
      <c r="AJ92" s="125">
        <v>46069</v>
      </c>
      <c r="AK92" s="126" t="s">
        <v>447</v>
      </c>
      <c r="AL92" s="127" t="s">
        <v>194</v>
      </c>
      <c r="AM92" s="128" t="s">
        <v>482</v>
      </c>
      <c r="AN92" s="129">
        <v>49000</v>
      </c>
      <c r="AO92" s="129" t="s">
        <v>191</v>
      </c>
      <c r="AP92" s="130" t="s">
        <v>192</v>
      </c>
      <c r="AQ92" s="131">
        <f t="shared" si="42"/>
        <v>41176.470588235294</v>
      </c>
      <c r="AR92" s="132">
        <f t="shared" si="43"/>
        <v>7823.5294117647063</v>
      </c>
      <c r="AS92" s="132">
        <f t="shared" si="44"/>
        <v>49000</v>
      </c>
      <c r="AT92" s="132">
        <f t="shared" si="45"/>
        <v>49000</v>
      </c>
      <c r="AU92" s="132">
        <f t="shared" si="46"/>
        <v>49000</v>
      </c>
      <c r="AV92" s="133">
        <f t="shared" si="27"/>
        <v>54140</v>
      </c>
      <c r="AW92" s="133">
        <f t="shared" si="28"/>
        <v>54140</v>
      </c>
      <c r="AX92" s="133">
        <f t="shared" si="29"/>
        <v>4917</v>
      </c>
      <c r="AY92" s="134">
        <f t="shared" si="47"/>
        <v>9.0820096047284818E-2</v>
      </c>
      <c r="AZ92" s="5"/>
      <c r="BA92" s="7">
        <f t="shared" si="48"/>
        <v>3</v>
      </c>
      <c r="BB92" s="7"/>
    </row>
    <row r="93" spans="1:54" ht="54">
      <c r="A93" s="105" t="s">
        <v>181</v>
      </c>
      <c r="B93" s="105" t="s">
        <v>259</v>
      </c>
      <c r="C93" s="105">
        <v>14111514</v>
      </c>
      <c r="D93" s="105" t="s">
        <v>498</v>
      </c>
      <c r="E93" s="106" t="s">
        <v>499</v>
      </c>
      <c r="F93" s="107" t="s">
        <v>185</v>
      </c>
      <c r="G93" s="108">
        <v>1</v>
      </c>
      <c r="H93" s="107" t="s">
        <v>186</v>
      </c>
      <c r="I93" s="109" t="s">
        <v>200</v>
      </c>
      <c r="J93" s="110">
        <v>46070</v>
      </c>
      <c r="K93" s="111" t="s">
        <v>447</v>
      </c>
      <c r="L93" s="112" t="s">
        <v>194</v>
      </c>
      <c r="M93" s="110" t="s">
        <v>482</v>
      </c>
      <c r="N93" s="113">
        <v>5000</v>
      </c>
      <c r="O93" s="113" t="s">
        <v>191</v>
      </c>
      <c r="P93" s="113" t="s">
        <v>192</v>
      </c>
      <c r="Q93" s="114">
        <f t="shared" si="32"/>
        <v>4201.680672268908</v>
      </c>
      <c r="R93" s="115">
        <f t="shared" si="33"/>
        <v>798.31932773109247</v>
      </c>
      <c r="S93" s="115">
        <f t="shared" si="34"/>
        <v>5000</v>
      </c>
      <c r="T93" s="115">
        <f t="shared" si="35"/>
        <v>5000</v>
      </c>
      <c r="U93" s="115">
        <f t="shared" si="36"/>
        <v>5000</v>
      </c>
      <c r="V93" s="116" t="s">
        <v>200</v>
      </c>
      <c r="W93" s="117">
        <v>46070</v>
      </c>
      <c r="X93" s="118" t="s">
        <v>264</v>
      </c>
      <c r="Y93" s="119" t="s">
        <v>194</v>
      </c>
      <c r="Z93" s="120" t="s">
        <v>265</v>
      </c>
      <c r="AA93" s="121">
        <v>4875</v>
      </c>
      <c r="AB93" s="121" t="s">
        <v>191</v>
      </c>
      <c r="AC93" s="121" t="s">
        <v>192</v>
      </c>
      <c r="AD93" s="122">
        <f t="shared" si="37"/>
        <v>4096.6386554621849</v>
      </c>
      <c r="AE93" s="123">
        <f t="shared" si="38"/>
        <v>778.36134453781517</v>
      </c>
      <c r="AF93" s="123">
        <f t="shared" si="39"/>
        <v>4875</v>
      </c>
      <c r="AG93" s="123">
        <f t="shared" si="40"/>
        <v>4875</v>
      </c>
      <c r="AH93" s="123">
        <f t="shared" si="41"/>
        <v>4875</v>
      </c>
      <c r="AI93" s="124" t="s">
        <v>200</v>
      </c>
      <c r="AJ93" s="125">
        <v>46070</v>
      </c>
      <c r="AK93" s="126" t="s">
        <v>266</v>
      </c>
      <c r="AL93" s="127" t="s">
        <v>194</v>
      </c>
      <c r="AM93" s="128" t="s">
        <v>267</v>
      </c>
      <c r="AN93" s="129">
        <v>6200</v>
      </c>
      <c r="AO93" s="129" t="s">
        <v>191</v>
      </c>
      <c r="AP93" s="130" t="s">
        <v>192</v>
      </c>
      <c r="AQ93" s="131">
        <f t="shared" si="42"/>
        <v>5210.0840336134452</v>
      </c>
      <c r="AR93" s="132">
        <f t="shared" si="43"/>
        <v>989.9159663865546</v>
      </c>
      <c r="AS93" s="132">
        <f t="shared" si="44"/>
        <v>6200</v>
      </c>
      <c r="AT93" s="132">
        <f t="shared" si="45"/>
        <v>6200</v>
      </c>
      <c r="AU93" s="132">
        <f t="shared" si="46"/>
        <v>6200</v>
      </c>
      <c r="AV93" s="133">
        <f t="shared" si="27"/>
        <v>5358</v>
      </c>
      <c r="AW93" s="133">
        <f t="shared" si="28"/>
        <v>5358</v>
      </c>
      <c r="AX93" s="133">
        <f t="shared" si="29"/>
        <v>732</v>
      </c>
      <c r="AY93" s="134">
        <f t="shared" si="47"/>
        <v>0.1366181410974244</v>
      </c>
      <c r="AZ93" s="5"/>
      <c r="BA93" s="7">
        <f t="shared" si="48"/>
        <v>3</v>
      </c>
      <c r="BB93" s="7"/>
    </row>
    <row r="94" spans="1:54" ht="81">
      <c r="A94" s="105" t="s">
        <v>181</v>
      </c>
      <c r="B94" s="105" t="s">
        <v>259</v>
      </c>
      <c r="C94" s="105">
        <v>14111514</v>
      </c>
      <c r="D94" s="105" t="s">
        <v>500</v>
      </c>
      <c r="E94" s="106" t="s">
        <v>501</v>
      </c>
      <c r="F94" s="107" t="s">
        <v>185</v>
      </c>
      <c r="G94" s="108">
        <v>1</v>
      </c>
      <c r="H94" s="107" t="s">
        <v>186</v>
      </c>
      <c r="I94" s="109" t="s">
        <v>200</v>
      </c>
      <c r="J94" s="110">
        <v>46069</v>
      </c>
      <c r="K94" s="111" t="s">
        <v>447</v>
      </c>
      <c r="L94" s="112" t="s">
        <v>194</v>
      </c>
      <c r="M94" s="110" t="s">
        <v>482</v>
      </c>
      <c r="N94" s="113">
        <v>4400</v>
      </c>
      <c r="O94" s="113" t="s">
        <v>191</v>
      </c>
      <c r="P94" s="113" t="s">
        <v>192</v>
      </c>
      <c r="Q94" s="114">
        <f t="shared" si="32"/>
        <v>3697.4789915966389</v>
      </c>
      <c r="R94" s="115">
        <f t="shared" si="33"/>
        <v>702.52100840336141</v>
      </c>
      <c r="S94" s="115">
        <f t="shared" si="34"/>
        <v>4400</v>
      </c>
      <c r="T94" s="115">
        <f t="shared" si="35"/>
        <v>4400</v>
      </c>
      <c r="U94" s="115">
        <f t="shared" si="36"/>
        <v>4400</v>
      </c>
      <c r="V94" s="116" t="s">
        <v>200</v>
      </c>
      <c r="W94" s="117">
        <v>46069</v>
      </c>
      <c r="X94" s="118" t="s">
        <v>490</v>
      </c>
      <c r="Y94" s="119" t="s">
        <v>194</v>
      </c>
      <c r="Z94" s="120" t="s">
        <v>491</v>
      </c>
      <c r="AA94" s="121">
        <v>3950</v>
      </c>
      <c r="AB94" s="121" t="s">
        <v>198</v>
      </c>
      <c r="AC94" s="121" t="s">
        <v>192</v>
      </c>
      <c r="AD94" s="122">
        <f t="shared" si="37"/>
        <v>3950</v>
      </c>
      <c r="AE94" s="123">
        <f t="shared" si="38"/>
        <v>750.5</v>
      </c>
      <c r="AF94" s="123">
        <f t="shared" si="39"/>
        <v>4700.5</v>
      </c>
      <c r="AG94" s="123">
        <f t="shared" si="40"/>
        <v>3950</v>
      </c>
      <c r="AH94" s="123">
        <f t="shared" si="41"/>
        <v>4700.5</v>
      </c>
      <c r="AI94" s="124" t="s">
        <v>200</v>
      </c>
      <c r="AJ94" s="125">
        <v>46069</v>
      </c>
      <c r="AK94" s="126" t="s">
        <v>502</v>
      </c>
      <c r="AL94" s="127" t="s">
        <v>194</v>
      </c>
      <c r="AM94" s="128" t="s">
        <v>503</v>
      </c>
      <c r="AN94" s="129">
        <v>4900</v>
      </c>
      <c r="AO94" s="129" t="s">
        <v>191</v>
      </c>
      <c r="AP94" s="130" t="s">
        <v>192</v>
      </c>
      <c r="AQ94" s="131">
        <f t="shared" si="42"/>
        <v>4117.6470588235297</v>
      </c>
      <c r="AR94" s="132">
        <f t="shared" si="43"/>
        <v>782.35294117647061</v>
      </c>
      <c r="AS94" s="132">
        <f t="shared" si="44"/>
        <v>4900</v>
      </c>
      <c r="AT94" s="132">
        <f t="shared" si="45"/>
        <v>4900</v>
      </c>
      <c r="AU94" s="132">
        <f t="shared" si="46"/>
        <v>4900</v>
      </c>
      <c r="AV94" s="133">
        <f t="shared" si="27"/>
        <v>4667</v>
      </c>
      <c r="AW94" s="133">
        <f t="shared" si="28"/>
        <v>4667</v>
      </c>
      <c r="AX94" s="133">
        <f t="shared" si="29"/>
        <v>252</v>
      </c>
      <c r="AY94" s="134">
        <f t="shared" si="47"/>
        <v>5.399614313263338E-2</v>
      </c>
      <c r="AZ94" s="5"/>
      <c r="BA94" s="7">
        <f t="shared" si="48"/>
        <v>3</v>
      </c>
      <c r="BB94" s="7"/>
    </row>
    <row r="95" spans="1:54" ht="54">
      <c r="A95" s="105" t="s">
        <v>181</v>
      </c>
      <c r="B95" s="105" t="s">
        <v>259</v>
      </c>
      <c r="C95" s="105"/>
      <c r="D95" s="105" t="s">
        <v>504</v>
      </c>
      <c r="E95" s="106" t="s">
        <v>505</v>
      </c>
      <c r="F95" s="107" t="s">
        <v>185</v>
      </c>
      <c r="G95" s="108">
        <v>1</v>
      </c>
      <c r="H95" s="107" t="s">
        <v>186</v>
      </c>
      <c r="I95" s="109" t="s">
        <v>200</v>
      </c>
      <c r="J95" s="110">
        <v>46070</v>
      </c>
      <c r="K95" s="111" t="s">
        <v>447</v>
      </c>
      <c r="L95" s="112" t="s">
        <v>194</v>
      </c>
      <c r="M95" s="110" t="s">
        <v>482</v>
      </c>
      <c r="N95" s="113">
        <v>5600</v>
      </c>
      <c r="O95" s="113" t="s">
        <v>191</v>
      </c>
      <c r="P95" s="113" t="s">
        <v>192</v>
      </c>
      <c r="Q95" s="114">
        <f t="shared" si="32"/>
        <v>4705.8823529411766</v>
      </c>
      <c r="R95" s="115">
        <f t="shared" si="33"/>
        <v>894.11764705882354</v>
      </c>
      <c r="S95" s="115">
        <f t="shared" si="34"/>
        <v>5600</v>
      </c>
      <c r="T95" s="115">
        <f t="shared" si="35"/>
        <v>5600</v>
      </c>
      <c r="U95" s="115">
        <f t="shared" si="36"/>
        <v>5600</v>
      </c>
      <c r="V95" s="116" t="s">
        <v>200</v>
      </c>
      <c r="W95" s="117">
        <v>46070</v>
      </c>
      <c r="X95" s="118" t="s">
        <v>266</v>
      </c>
      <c r="Y95" s="119" t="s">
        <v>194</v>
      </c>
      <c r="Z95" s="120" t="s">
        <v>506</v>
      </c>
      <c r="AA95" s="121">
        <v>5600</v>
      </c>
      <c r="AB95" s="121" t="s">
        <v>191</v>
      </c>
      <c r="AC95" s="121" t="s">
        <v>192</v>
      </c>
      <c r="AD95" s="122">
        <f t="shared" si="37"/>
        <v>4705.8823529411766</v>
      </c>
      <c r="AE95" s="123">
        <f t="shared" si="38"/>
        <v>894.11764705882354</v>
      </c>
      <c r="AF95" s="123">
        <f t="shared" si="39"/>
        <v>5600</v>
      </c>
      <c r="AG95" s="123">
        <f t="shared" si="40"/>
        <v>5600</v>
      </c>
      <c r="AH95" s="123">
        <f t="shared" si="41"/>
        <v>5600</v>
      </c>
      <c r="AI95" s="124" t="s">
        <v>200</v>
      </c>
      <c r="AJ95" s="125">
        <v>46070</v>
      </c>
      <c r="AK95" s="126" t="s">
        <v>507</v>
      </c>
      <c r="AL95" s="127" t="s">
        <v>194</v>
      </c>
      <c r="AM95" s="128" t="s">
        <v>508</v>
      </c>
      <c r="AN95" s="129">
        <v>5000</v>
      </c>
      <c r="AO95" s="129" t="s">
        <v>191</v>
      </c>
      <c r="AP95" s="130" t="s">
        <v>192</v>
      </c>
      <c r="AQ95" s="131">
        <f t="shared" si="42"/>
        <v>4201.680672268908</v>
      </c>
      <c r="AR95" s="132">
        <f t="shared" si="43"/>
        <v>798.31932773109247</v>
      </c>
      <c r="AS95" s="132">
        <f t="shared" si="44"/>
        <v>5000</v>
      </c>
      <c r="AT95" s="132">
        <f t="shared" si="45"/>
        <v>5000</v>
      </c>
      <c r="AU95" s="132">
        <f t="shared" si="46"/>
        <v>5000</v>
      </c>
      <c r="AV95" s="133">
        <f t="shared" si="27"/>
        <v>5400</v>
      </c>
      <c r="AW95" s="133">
        <f t="shared" si="28"/>
        <v>5400</v>
      </c>
      <c r="AX95" s="133">
        <f t="shared" si="29"/>
        <v>346</v>
      </c>
      <c r="AY95" s="134">
        <f t="shared" si="47"/>
        <v>6.4074074074074075E-2</v>
      </c>
      <c r="AZ95" s="5"/>
      <c r="BA95" s="7">
        <f t="shared" si="48"/>
        <v>3</v>
      </c>
      <c r="BB95" s="7"/>
    </row>
    <row r="96" spans="1:54" ht="40.5">
      <c r="A96" s="105" t="s">
        <v>181</v>
      </c>
      <c r="B96" s="105" t="s">
        <v>259</v>
      </c>
      <c r="C96" s="105">
        <v>60123001</v>
      </c>
      <c r="D96" s="105" t="s">
        <v>509</v>
      </c>
      <c r="E96" s="106" t="s">
        <v>510</v>
      </c>
      <c r="F96" s="107" t="s">
        <v>185</v>
      </c>
      <c r="G96" s="108">
        <v>1</v>
      </c>
      <c r="H96" s="107" t="s">
        <v>186</v>
      </c>
      <c r="I96" s="109" t="s">
        <v>200</v>
      </c>
      <c r="J96" s="110">
        <v>46070</v>
      </c>
      <c r="K96" s="111" t="s">
        <v>488</v>
      </c>
      <c r="L96" s="112" t="s">
        <v>194</v>
      </c>
      <c r="M96" s="110" t="s">
        <v>489</v>
      </c>
      <c r="N96" s="113">
        <v>990</v>
      </c>
      <c r="O96" s="113" t="s">
        <v>198</v>
      </c>
      <c r="P96" s="113" t="s">
        <v>191</v>
      </c>
      <c r="Q96" s="114">
        <f t="shared" si="32"/>
        <v>990</v>
      </c>
      <c r="R96" s="115">
        <v>188</v>
      </c>
      <c r="S96" s="115">
        <f t="shared" si="34"/>
        <v>1178</v>
      </c>
      <c r="T96" s="115">
        <f t="shared" si="35"/>
        <v>990</v>
      </c>
      <c r="U96" s="115">
        <f t="shared" si="36"/>
        <v>1178</v>
      </c>
      <c r="V96" s="116" t="s">
        <v>200</v>
      </c>
      <c r="W96" s="117">
        <v>46070</v>
      </c>
      <c r="X96" s="118" t="s">
        <v>266</v>
      </c>
      <c r="Y96" s="119" t="s">
        <v>194</v>
      </c>
      <c r="Z96" s="120" t="s">
        <v>506</v>
      </c>
      <c r="AA96" s="121">
        <v>1200</v>
      </c>
      <c r="AB96" s="121" t="s">
        <v>191</v>
      </c>
      <c r="AC96" s="121" t="s">
        <v>192</v>
      </c>
      <c r="AD96" s="122">
        <f t="shared" si="37"/>
        <v>1008.4033613445379</v>
      </c>
      <c r="AE96" s="123">
        <f t="shared" si="38"/>
        <v>191.59663865546219</v>
      </c>
      <c r="AF96" s="123">
        <f t="shared" si="39"/>
        <v>1200</v>
      </c>
      <c r="AG96" s="123">
        <f t="shared" si="40"/>
        <v>1200</v>
      </c>
      <c r="AH96" s="123">
        <f t="shared" si="41"/>
        <v>1200</v>
      </c>
      <c r="AI96" s="124" t="s">
        <v>200</v>
      </c>
      <c r="AJ96" s="125">
        <v>46070</v>
      </c>
      <c r="AK96" s="126" t="s">
        <v>445</v>
      </c>
      <c r="AL96" s="127" t="s">
        <v>194</v>
      </c>
      <c r="AM96" s="128" t="s">
        <v>511</v>
      </c>
      <c r="AN96" s="129">
        <v>1000</v>
      </c>
      <c r="AO96" s="129" t="s">
        <v>191</v>
      </c>
      <c r="AP96" s="130" t="s">
        <v>192</v>
      </c>
      <c r="AQ96" s="131">
        <f t="shared" si="42"/>
        <v>840.3361344537816</v>
      </c>
      <c r="AR96" s="132">
        <f t="shared" si="43"/>
        <v>159.66386554621852</v>
      </c>
      <c r="AS96" s="132">
        <f t="shared" si="44"/>
        <v>1000.0000000000001</v>
      </c>
      <c r="AT96" s="132">
        <f t="shared" si="45"/>
        <v>1000</v>
      </c>
      <c r="AU96" s="132">
        <f t="shared" si="46"/>
        <v>1000.0000000000001</v>
      </c>
      <c r="AV96" s="133">
        <f t="shared" si="27"/>
        <v>1126</v>
      </c>
      <c r="AW96" s="133">
        <f t="shared" si="28"/>
        <v>1126</v>
      </c>
      <c r="AX96" s="133">
        <f t="shared" si="29"/>
        <v>110</v>
      </c>
      <c r="AY96" s="134">
        <f t="shared" si="47"/>
        <v>9.7690941385435173E-2</v>
      </c>
      <c r="AZ96" s="5"/>
      <c r="BA96" s="7">
        <f t="shared" si="48"/>
        <v>3</v>
      </c>
      <c r="BB96" s="7"/>
    </row>
    <row r="97" spans="1:54" ht="67.5">
      <c r="A97" s="105" t="s">
        <v>181</v>
      </c>
      <c r="B97" s="105" t="s">
        <v>259</v>
      </c>
      <c r="C97" s="105">
        <v>60123001</v>
      </c>
      <c r="D97" s="105" t="s">
        <v>512</v>
      </c>
      <c r="E97" s="106" t="s">
        <v>513</v>
      </c>
      <c r="F97" s="107" t="s">
        <v>185</v>
      </c>
      <c r="G97" s="108">
        <v>1</v>
      </c>
      <c r="H97" s="107" t="s">
        <v>186</v>
      </c>
      <c r="I97" s="109" t="s">
        <v>200</v>
      </c>
      <c r="J97" s="110">
        <v>46070</v>
      </c>
      <c r="K97" s="111" t="s">
        <v>266</v>
      </c>
      <c r="L97" s="112" t="s">
        <v>194</v>
      </c>
      <c r="M97" s="110" t="s">
        <v>514</v>
      </c>
      <c r="N97" s="113">
        <v>2200</v>
      </c>
      <c r="O97" s="113" t="s">
        <v>191</v>
      </c>
      <c r="P97" s="113" t="s">
        <v>192</v>
      </c>
      <c r="Q97" s="114">
        <f t="shared" si="32"/>
        <v>1848.7394957983195</v>
      </c>
      <c r="R97" s="115">
        <f t="shared" ref="R97:R104" si="49">IF(P97="Si tiene IVA",Q97*19%,0)</f>
        <v>351.2605042016807</v>
      </c>
      <c r="S97" s="115">
        <f t="shared" si="34"/>
        <v>2200</v>
      </c>
      <c r="T97" s="115">
        <f t="shared" si="35"/>
        <v>2200</v>
      </c>
      <c r="U97" s="115">
        <f t="shared" si="36"/>
        <v>2200</v>
      </c>
      <c r="V97" s="116" t="s">
        <v>200</v>
      </c>
      <c r="W97" s="117">
        <v>46070</v>
      </c>
      <c r="X97" s="118" t="s">
        <v>488</v>
      </c>
      <c r="Y97" s="119" t="s">
        <v>194</v>
      </c>
      <c r="Z97" s="120" t="s">
        <v>489</v>
      </c>
      <c r="AA97" s="121">
        <v>1990</v>
      </c>
      <c r="AB97" s="121" t="s">
        <v>198</v>
      </c>
      <c r="AC97" s="121" t="s">
        <v>192</v>
      </c>
      <c r="AD97" s="122">
        <f t="shared" si="37"/>
        <v>1990</v>
      </c>
      <c r="AE97" s="123">
        <f t="shared" si="38"/>
        <v>378.1</v>
      </c>
      <c r="AF97" s="123">
        <f t="shared" si="39"/>
        <v>2368.1</v>
      </c>
      <c r="AG97" s="123">
        <f t="shared" si="40"/>
        <v>1990</v>
      </c>
      <c r="AH97" s="123">
        <f t="shared" si="41"/>
        <v>2368.1</v>
      </c>
      <c r="AI97" s="124" t="s">
        <v>200</v>
      </c>
      <c r="AJ97" s="125">
        <v>46070</v>
      </c>
      <c r="AK97" s="126" t="s">
        <v>490</v>
      </c>
      <c r="AL97" s="127" t="s">
        <v>194</v>
      </c>
      <c r="AM97" s="128" t="s">
        <v>491</v>
      </c>
      <c r="AN97" s="129">
        <v>2100</v>
      </c>
      <c r="AO97" s="129" t="s">
        <v>198</v>
      </c>
      <c r="AP97" s="130" t="s">
        <v>192</v>
      </c>
      <c r="AQ97" s="131">
        <f t="shared" si="42"/>
        <v>2100</v>
      </c>
      <c r="AR97" s="132">
        <f t="shared" si="43"/>
        <v>399</v>
      </c>
      <c r="AS97" s="132">
        <f t="shared" si="44"/>
        <v>2499</v>
      </c>
      <c r="AT97" s="132">
        <f t="shared" si="45"/>
        <v>2100</v>
      </c>
      <c r="AU97" s="132">
        <f t="shared" si="46"/>
        <v>2499</v>
      </c>
      <c r="AV97" s="133">
        <f t="shared" si="27"/>
        <v>2356</v>
      </c>
      <c r="AW97" s="133">
        <f t="shared" si="28"/>
        <v>2356</v>
      </c>
      <c r="AX97" s="133">
        <f t="shared" si="29"/>
        <v>150</v>
      </c>
      <c r="AY97" s="134">
        <f t="shared" si="47"/>
        <v>6.3667232597623094E-2</v>
      </c>
      <c r="AZ97" s="5"/>
      <c r="BA97" s="7">
        <f t="shared" si="48"/>
        <v>3</v>
      </c>
      <c r="BB97" s="7"/>
    </row>
    <row r="98" spans="1:54" ht="54">
      <c r="A98" s="105" t="s">
        <v>181</v>
      </c>
      <c r="B98" s="105" t="s">
        <v>259</v>
      </c>
      <c r="C98" s="105">
        <v>44121804</v>
      </c>
      <c r="D98" s="105" t="s">
        <v>515</v>
      </c>
      <c r="E98" s="106" t="s">
        <v>516</v>
      </c>
      <c r="F98" s="107" t="s">
        <v>185</v>
      </c>
      <c r="G98" s="108">
        <v>1</v>
      </c>
      <c r="H98" s="107" t="s">
        <v>186</v>
      </c>
      <c r="I98" s="109" t="s">
        <v>200</v>
      </c>
      <c r="J98" s="110">
        <v>46070</v>
      </c>
      <c r="K98" s="111" t="s">
        <v>447</v>
      </c>
      <c r="L98" s="112" t="s">
        <v>194</v>
      </c>
      <c r="M98" s="110" t="s">
        <v>482</v>
      </c>
      <c r="N98" s="113">
        <v>20000</v>
      </c>
      <c r="O98" s="113" t="s">
        <v>191</v>
      </c>
      <c r="P98" s="113" t="s">
        <v>192</v>
      </c>
      <c r="Q98" s="114">
        <f t="shared" si="32"/>
        <v>16806.722689075632</v>
      </c>
      <c r="R98" s="115">
        <f t="shared" si="49"/>
        <v>3193.2773109243699</v>
      </c>
      <c r="S98" s="115">
        <f t="shared" si="34"/>
        <v>20000</v>
      </c>
      <c r="T98" s="115">
        <f t="shared" si="35"/>
        <v>20000</v>
      </c>
      <c r="U98" s="115">
        <f t="shared" si="36"/>
        <v>20000</v>
      </c>
      <c r="V98" s="116" t="s">
        <v>200</v>
      </c>
      <c r="W98" s="117">
        <v>46070</v>
      </c>
      <c r="X98" s="118" t="s">
        <v>490</v>
      </c>
      <c r="Y98" s="119" t="s">
        <v>194</v>
      </c>
      <c r="Z98" s="120" t="s">
        <v>491</v>
      </c>
      <c r="AA98" s="121">
        <v>15126</v>
      </c>
      <c r="AB98" s="121" t="s">
        <v>198</v>
      </c>
      <c r="AC98" s="121" t="s">
        <v>192</v>
      </c>
      <c r="AD98" s="122">
        <f t="shared" si="37"/>
        <v>15126</v>
      </c>
      <c r="AE98" s="123">
        <f t="shared" si="38"/>
        <v>2873.94</v>
      </c>
      <c r="AF98" s="123">
        <f t="shared" si="39"/>
        <v>17999.939999999999</v>
      </c>
      <c r="AG98" s="123">
        <f t="shared" si="40"/>
        <v>15126</v>
      </c>
      <c r="AH98" s="123">
        <f t="shared" si="41"/>
        <v>17999.939999999999</v>
      </c>
      <c r="AI98" s="124" t="s">
        <v>200</v>
      </c>
      <c r="AJ98" s="125">
        <v>46070</v>
      </c>
      <c r="AK98" s="126" t="s">
        <v>445</v>
      </c>
      <c r="AL98" s="127" t="s">
        <v>194</v>
      </c>
      <c r="AM98" s="128" t="s">
        <v>511</v>
      </c>
      <c r="AN98" s="129">
        <v>22000</v>
      </c>
      <c r="AO98" s="129" t="s">
        <v>191</v>
      </c>
      <c r="AP98" s="130" t="s">
        <v>192</v>
      </c>
      <c r="AQ98" s="131">
        <f t="shared" si="42"/>
        <v>18487.394957983193</v>
      </c>
      <c r="AR98" s="132">
        <f t="shared" si="43"/>
        <v>3512.6050420168067</v>
      </c>
      <c r="AS98" s="132">
        <f t="shared" si="44"/>
        <v>22000</v>
      </c>
      <c r="AT98" s="132">
        <f t="shared" si="45"/>
        <v>22000</v>
      </c>
      <c r="AU98" s="132">
        <f t="shared" si="46"/>
        <v>22000</v>
      </c>
      <c r="AV98" s="133">
        <f t="shared" si="27"/>
        <v>20000</v>
      </c>
      <c r="AW98" s="133">
        <f t="shared" si="28"/>
        <v>20000</v>
      </c>
      <c r="AX98" s="133">
        <f t="shared" si="29"/>
        <v>2000</v>
      </c>
      <c r="AY98" s="134">
        <f t="shared" si="47"/>
        <v>0.1</v>
      </c>
      <c r="AZ98" s="5"/>
      <c r="BA98" s="7">
        <f t="shared" si="48"/>
        <v>3</v>
      </c>
      <c r="BB98" s="7"/>
    </row>
    <row r="99" spans="1:54" ht="67.5">
      <c r="A99" s="105" t="s">
        <v>181</v>
      </c>
      <c r="B99" s="105" t="s">
        <v>259</v>
      </c>
      <c r="C99" s="105">
        <v>44121804</v>
      </c>
      <c r="D99" s="105" t="s">
        <v>517</v>
      </c>
      <c r="E99" s="106" t="s">
        <v>518</v>
      </c>
      <c r="F99" s="107" t="s">
        <v>185</v>
      </c>
      <c r="G99" s="108">
        <v>1</v>
      </c>
      <c r="H99" s="107" t="s">
        <v>186</v>
      </c>
      <c r="I99" s="109" t="s">
        <v>200</v>
      </c>
      <c r="J99" s="110">
        <v>46070</v>
      </c>
      <c r="K99" s="111" t="s">
        <v>264</v>
      </c>
      <c r="L99" s="112" t="s">
        <v>194</v>
      </c>
      <c r="M99" s="110" t="s">
        <v>265</v>
      </c>
      <c r="N99" s="113">
        <v>11500</v>
      </c>
      <c r="O99" s="113" t="s">
        <v>198</v>
      </c>
      <c r="P99" s="113" t="s">
        <v>192</v>
      </c>
      <c r="Q99" s="114">
        <f t="shared" si="32"/>
        <v>11500</v>
      </c>
      <c r="R99" s="115">
        <f t="shared" si="49"/>
        <v>2185</v>
      </c>
      <c r="S99" s="115">
        <f t="shared" si="34"/>
        <v>13685</v>
      </c>
      <c r="T99" s="115">
        <f t="shared" si="35"/>
        <v>11500</v>
      </c>
      <c r="U99" s="115">
        <f t="shared" si="36"/>
        <v>13685</v>
      </c>
      <c r="V99" s="116" t="s">
        <v>200</v>
      </c>
      <c r="W99" s="117">
        <v>46070</v>
      </c>
      <c r="X99" s="118" t="s">
        <v>507</v>
      </c>
      <c r="Y99" s="119" t="s">
        <v>194</v>
      </c>
      <c r="Z99" s="120" t="s">
        <v>519</v>
      </c>
      <c r="AA99" s="121">
        <v>18000</v>
      </c>
      <c r="AB99" s="121" t="s">
        <v>191</v>
      </c>
      <c r="AC99" s="121" t="s">
        <v>192</v>
      </c>
      <c r="AD99" s="122">
        <f t="shared" si="37"/>
        <v>15126.050420168069</v>
      </c>
      <c r="AE99" s="123">
        <f t="shared" si="38"/>
        <v>2873.9495798319331</v>
      </c>
      <c r="AF99" s="123">
        <f t="shared" si="39"/>
        <v>18000</v>
      </c>
      <c r="AG99" s="123">
        <f t="shared" si="40"/>
        <v>18000</v>
      </c>
      <c r="AH99" s="123">
        <f t="shared" si="41"/>
        <v>18000</v>
      </c>
      <c r="AI99" s="124" t="s">
        <v>200</v>
      </c>
      <c r="AJ99" s="125">
        <v>46070</v>
      </c>
      <c r="AK99" s="126" t="s">
        <v>488</v>
      </c>
      <c r="AL99" s="127" t="s">
        <v>194</v>
      </c>
      <c r="AM99" s="128" t="s">
        <v>489</v>
      </c>
      <c r="AN99" s="129">
        <v>13940</v>
      </c>
      <c r="AO99" s="129" t="s">
        <v>198</v>
      </c>
      <c r="AP99" s="130" t="s">
        <v>192</v>
      </c>
      <c r="AQ99" s="131">
        <f t="shared" si="42"/>
        <v>13940</v>
      </c>
      <c r="AR99" s="132">
        <f t="shared" si="43"/>
        <v>2648.6</v>
      </c>
      <c r="AS99" s="132">
        <f t="shared" si="44"/>
        <v>16588.599999999999</v>
      </c>
      <c r="AT99" s="132">
        <f t="shared" si="45"/>
        <v>13940</v>
      </c>
      <c r="AU99" s="132">
        <f t="shared" si="46"/>
        <v>16588.599999999999</v>
      </c>
      <c r="AV99" s="133">
        <f t="shared" si="27"/>
        <v>16091</v>
      </c>
      <c r="AW99" s="133">
        <f t="shared" si="28"/>
        <v>16091</v>
      </c>
      <c r="AX99" s="133">
        <f t="shared" si="29"/>
        <v>2200</v>
      </c>
      <c r="AY99" s="134">
        <f t="shared" si="47"/>
        <v>0.13672239139891865</v>
      </c>
      <c r="AZ99" s="5"/>
      <c r="BA99" s="7">
        <f t="shared" si="48"/>
        <v>3</v>
      </c>
      <c r="BB99" s="7"/>
    </row>
    <row r="100" spans="1:54" ht="67.5">
      <c r="A100" s="105" t="s">
        <v>181</v>
      </c>
      <c r="B100" s="105" t="s">
        <v>259</v>
      </c>
      <c r="C100" s="105">
        <v>44111912</v>
      </c>
      <c r="D100" s="105" t="s">
        <v>520</v>
      </c>
      <c r="E100" s="106" t="s">
        <v>521</v>
      </c>
      <c r="F100" s="107" t="s">
        <v>185</v>
      </c>
      <c r="G100" s="108">
        <v>1</v>
      </c>
      <c r="H100" s="107" t="s">
        <v>186</v>
      </c>
      <c r="I100" s="109" t="s">
        <v>200</v>
      </c>
      <c r="J100" s="110">
        <v>46070</v>
      </c>
      <c r="K100" s="111" t="s">
        <v>522</v>
      </c>
      <c r="L100" s="112" t="s">
        <v>194</v>
      </c>
      <c r="M100" s="110" t="s">
        <v>523</v>
      </c>
      <c r="N100" s="113">
        <v>1900</v>
      </c>
      <c r="O100" s="113" t="s">
        <v>191</v>
      </c>
      <c r="P100" s="113" t="s">
        <v>192</v>
      </c>
      <c r="Q100" s="114">
        <f t="shared" si="32"/>
        <v>1596.6386554621849</v>
      </c>
      <c r="R100" s="115">
        <f t="shared" si="49"/>
        <v>303.36134453781517</v>
      </c>
      <c r="S100" s="115">
        <f t="shared" si="34"/>
        <v>1900</v>
      </c>
      <c r="T100" s="115">
        <f t="shared" si="35"/>
        <v>1900</v>
      </c>
      <c r="U100" s="115">
        <f t="shared" si="36"/>
        <v>1900</v>
      </c>
      <c r="V100" s="116" t="s">
        <v>200</v>
      </c>
      <c r="W100" s="117">
        <v>46070</v>
      </c>
      <c r="X100" s="118" t="s">
        <v>488</v>
      </c>
      <c r="Y100" s="119" t="s">
        <v>194</v>
      </c>
      <c r="Z100" s="120" t="s">
        <v>489</v>
      </c>
      <c r="AA100" s="121">
        <v>1633</v>
      </c>
      <c r="AB100" s="121" t="s">
        <v>198</v>
      </c>
      <c r="AC100" s="121" t="s">
        <v>192</v>
      </c>
      <c r="AD100" s="122">
        <f t="shared" si="37"/>
        <v>1633</v>
      </c>
      <c r="AE100" s="123">
        <f t="shared" si="38"/>
        <v>310.27</v>
      </c>
      <c r="AF100" s="123">
        <f t="shared" si="39"/>
        <v>1943.27</v>
      </c>
      <c r="AG100" s="123">
        <f t="shared" si="40"/>
        <v>1633</v>
      </c>
      <c r="AH100" s="123">
        <f t="shared" si="41"/>
        <v>1943.27</v>
      </c>
      <c r="AI100" s="124" t="s">
        <v>200</v>
      </c>
      <c r="AJ100" s="125">
        <v>46070</v>
      </c>
      <c r="AK100" s="126" t="s">
        <v>507</v>
      </c>
      <c r="AL100" s="127" t="s">
        <v>194</v>
      </c>
      <c r="AM100" s="128" t="s">
        <v>524</v>
      </c>
      <c r="AN100" s="129">
        <v>1900</v>
      </c>
      <c r="AO100" s="129" t="s">
        <v>191</v>
      </c>
      <c r="AP100" s="130" t="s">
        <v>192</v>
      </c>
      <c r="AQ100" s="131">
        <f t="shared" si="42"/>
        <v>1596.6386554621849</v>
      </c>
      <c r="AR100" s="132">
        <f t="shared" si="43"/>
        <v>303.36134453781517</v>
      </c>
      <c r="AS100" s="132">
        <f t="shared" si="44"/>
        <v>1900</v>
      </c>
      <c r="AT100" s="132">
        <f t="shared" si="45"/>
        <v>1900</v>
      </c>
      <c r="AU100" s="132">
        <f t="shared" si="46"/>
        <v>1900</v>
      </c>
      <c r="AV100" s="133">
        <f t="shared" si="27"/>
        <v>1914</v>
      </c>
      <c r="AW100" s="133">
        <f t="shared" si="28"/>
        <v>1914</v>
      </c>
      <c r="AX100" s="133">
        <f t="shared" si="29"/>
        <v>25</v>
      </c>
      <c r="AY100" s="134">
        <f t="shared" si="47"/>
        <v>1.3061650992685475E-2</v>
      </c>
      <c r="AZ100" s="5"/>
      <c r="BA100" s="7">
        <f t="shared" si="48"/>
        <v>3</v>
      </c>
      <c r="BB100" s="7"/>
    </row>
    <row r="101" spans="1:54" ht="81">
      <c r="A101" s="105" t="s">
        <v>181</v>
      </c>
      <c r="B101" s="105" t="s">
        <v>241</v>
      </c>
      <c r="C101" s="105">
        <v>24122000</v>
      </c>
      <c r="D101" s="105" t="s">
        <v>525</v>
      </c>
      <c r="E101" s="106" t="s">
        <v>526</v>
      </c>
      <c r="F101" s="107" t="s">
        <v>185</v>
      </c>
      <c r="G101" s="108">
        <v>1</v>
      </c>
      <c r="H101" s="107" t="s">
        <v>186</v>
      </c>
      <c r="I101" s="109" t="s">
        <v>187</v>
      </c>
      <c r="J101" s="110">
        <v>46086</v>
      </c>
      <c r="K101" s="111" t="s">
        <v>527</v>
      </c>
      <c r="L101" s="112" t="s">
        <v>194</v>
      </c>
      <c r="M101" s="110" t="s">
        <v>528</v>
      </c>
      <c r="N101" s="113">
        <v>23000</v>
      </c>
      <c r="O101" s="113" t="s">
        <v>191</v>
      </c>
      <c r="P101" s="113" t="s">
        <v>192</v>
      </c>
      <c r="Q101" s="114">
        <f t="shared" si="32"/>
        <v>19327.731092436974</v>
      </c>
      <c r="R101" s="115">
        <f t="shared" si="49"/>
        <v>3672.2689075630251</v>
      </c>
      <c r="S101" s="115">
        <f t="shared" si="34"/>
        <v>23000</v>
      </c>
      <c r="T101" s="115">
        <f t="shared" si="35"/>
        <v>23000</v>
      </c>
      <c r="U101" s="115">
        <f t="shared" si="36"/>
        <v>23000</v>
      </c>
      <c r="V101" s="116" t="s">
        <v>187</v>
      </c>
      <c r="W101" s="117">
        <v>46152</v>
      </c>
      <c r="X101" s="118" t="s">
        <v>529</v>
      </c>
      <c r="Y101" s="119" t="s">
        <v>189</v>
      </c>
      <c r="Z101" s="120" t="s">
        <v>530</v>
      </c>
      <c r="AA101" s="121">
        <v>19099</v>
      </c>
      <c r="AB101" s="121" t="s">
        <v>198</v>
      </c>
      <c r="AC101" s="121" t="s">
        <v>192</v>
      </c>
      <c r="AD101" s="122">
        <f t="shared" si="37"/>
        <v>19099</v>
      </c>
      <c r="AE101" s="123">
        <f t="shared" si="38"/>
        <v>3628.81</v>
      </c>
      <c r="AF101" s="123">
        <f t="shared" si="39"/>
        <v>22727.81</v>
      </c>
      <c r="AG101" s="123">
        <f t="shared" si="40"/>
        <v>19099</v>
      </c>
      <c r="AH101" s="123">
        <f t="shared" si="41"/>
        <v>22727.81</v>
      </c>
      <c r="AI101" s="124" t="s">
        <v>187</v>
      </c>
      <c r="AJ101" s="125">
        <v>46086</v>
      </c>
      <c r="AK101" s="126" t="s">
        <v>531</v>
      </c>
      <c r="AL101" s="127" t="s">
        <v>194</v>
      </c>
      <c r="AM101" s="128" t="s">
        <v>532</v>
      </c>
      <c r="AN101" s="129">
        <v>23600</v>
      </c>
      <c r="AO101" s="129" t="s">
        <v>198</v>
      </c>
      <c r="AP101" s="130" t="s">
        <v>192</v>
      </c>
      <c r="AQ101" s="131">
        <f t="shared" si="42"/>
        <v>23600</v>
      </c>
      <c r="AR101" s="132">
        <f t="shared" si="43"/>
        <v>4484</v>
      </c>
      <c r="AS101" s="132">
        <f t="shared" si="44"/>
        <v>28084</v>
      </c>
      <c r="AT101" s="132">
        <f t="shared" si="45"/>
        <v>23600</v>
      </c>
      <c r="AU101" s="132">
        <f t="shared" si="46"/>
        <v>28084</v>
      </c>
      <c r="AV101" s="133">
        <f t="shared" si="27"/>
        <v>24604</v>
      </c>
      <c r="AW101" s="133">
        <f t="shared" si="28"/>
        <v>24604</v>
      </c>
      <c r="AX101" s="133">
        <f t="shared" si="29"/>
        <v>3017</v>
      </c>
      <c r="AY101" s="134">
        <f t="shared" si="47"/>
        <v>0.12262233783124696</v>
      </c>
      <c r="AZ101" s="5"/>
      <c r="BA101" s="7">
        <f t="shared" si="48"/>
        <v>3</v>
      </c>
      <c r="BB101" s="7"/>
    </row>
    <row r="102" spans="1:54" ht="108">
      <c r="A102" s="105" t="s">
        <v>181</v>
      </c>
      <c r="B102" s="105" t="s">
        <v>241</v>
      </c>
      <c r="C102" s="105" t="s">
        <v>533</v>
      </c>
      <c r="D102" s="105" t="s">
        <v>534</v>
      </c>
      <c r="E102" s="106" t="s">
        <v>535</v>
      </c>
      <c r="F102" s="107" t="s">
        <v>185</v>
      </c>
      <c r="G102" s="108">
        <v>180</v>
      </c>
      <c r="H102" s="107" t="s">
        <v>186</v>
      </c>
      <c r="I102" s="109" t="s">
        <v>187</v>
      </c>
      <c r="J102" s="110">
        <v>46152</v>
      </c>
      <c r="K102" s="111" t="s">
        <v>536</v>
      </c>
      <c r="L102" s="112" t="s">
        <v>194</v>
      </c>
      <c r="M102" s="110" t="s">
        <v>537</v>
      </c>
      <c r="N102" s="113">
        <v>23000</v>
      </c>
      <c r="O102" s="113" t="s">
        <v>191</v>
      </c>
      <c r="P102" s="113" t="s">
        <v>192</v>
      </c>
      <c r="Q102" s="114">
        <f t="shared" si="32"/>
        <v>19327.731092436974</v>
      </c>
      <c r="R102" s="115">
        <f t="shared" si="49"/>
        <v>3672.2689075630251</v>
      </c>
      <c r="S102" s="115">
        <f t="shared" si="34"/>
        <v>23000</v>
      </c>
      <c r="T102" s="115">
        <f t="shared" si="35"/>
        <v>4140000</v>
      </c>
      <c r="U102" s="115">
        <f t="shared" si="36"/>
        <v>4140000</v>
      </c>
      <c r="V102" s="116" t="s">
        <v>234</v>
      </c>
      <c r="W102" s="117">
        <v>46107</v>
      </c>
      <c r="X102" s="118" t="s">
        <v>538</v>
      </c>
      <c r="Y102" s="119" t="s">
        <v>194</v>
      </c>
      <c r="Z102" s="120" t="s">
        <v>530</v>
      </c>
      <c r="AA102" s="121">
        <v>21507</v>
      </c>
      <c r="AB102" s="121" t="s">
        <v>198</v>
      </c>
      <c r="AC102" s="121" t="s">
        <v>192</v>
      </c>
      <c r="AD102" s="122">
        <f t="shared" si="37"/>
        <v>21507</v>
      </c>
      <c r="AE102" s="123">
        <f t="shared" si="38"/>
        <v>4086.33</v>
      </c>
      <c r="AF102" s="123">
        <f t="shared" si="39"/>
        <v>25593.33</v>
      </c>
      <c r="AG102" s="123">
        <f t="shared" si="40"/>
        <v>3871260</v>
      </c>
      <c r="AH102" s="123">
        <f t="shared" si="41"/>
        <v>4606799.4000000004</v>
      </c>
      <c r="AI102" s="124" t="s">
        <v>187</v>
      </c>
      <c r="AJ102" s="125">
        <v>46152</v>
      </c>
      <c r="AK102" s="126" t="s">
        <v>539</v>
      </c>
      <c r="AL102" s="127" t="s">
        <v>194</v>
      </c>
      <c r="AM102" s="128" t="s">
        <v>540</v>
      </c>
      <c r="AN102" s="129">
        <v>22682</v>
      </c>
      <c r="AO102" s="129" t="s">
        <v>198</v>
      </c>
      <c r="AP102" s="130" t="s">
        <v>192</v>
      </c>
      <c r="AQ102" s="131">
        <f t="shared" si="42"/>
        <v>22682</v>
      </c>
      <c r="AR102" s="132">
        <f t="shared" si="43"/>
        <v>4309.58</v>
      </c>
      <c r="AS102" s="132">
        <f t="shared" si="44"/>
        <v>26991.58</v>
      </c>
      <c r="AT102" s="132">
        <f t="shared" si="45"/>
        <v>4082760</v>
      </c>
      <c r="AU102" s="132">
        <f t="shared" si="46"/>
        <v>4858484.4000000004</v>
      </c>
      <c r="AV102" s="133">
        <f t="shared" si="27"/>
        <v>25195</v>
      </c>
      <c r="AW102" s="133">
        <f t="shared" si="28"/>
        <v>4535100</v>
      </c>
      <c r="AX102" s="133">
        <f t="shared" si="29"/>
        <v>364570</v>
      </c>
      <c r="AY102" s="134">
        <f t="shared" si="47"/>
        <v>8.0388525060086882E-2</v>
      </c>
      <c r="AZ102" s="5"/>
      <c r="BA102" s="7">
        <f t="shared" si="48"/>
        <v>3</v>
      </c>
      <c r="BB102" s="7"/>
    </row>
    <row r="103" spans="1:54" ht="90">
      <c r="A103" s="105" t="s">
        <v>181</v>
      </c>
      <c r="B103" s="105" t="s">
        <v>241</v>
      </c>
      <c r="C103" s="105">
        <v>80141607</v>
      </c>
      <c r="D103" s="105" t="s">
        <v>541</v>
      </c>
      <c r="E103" s="106" t="s">
        <v>542</v>
      </c>
      <c r="F103" s="107" t="s">
        <v>185</v>
      </c>
      <c r="G103" s="108">
        <v>1</v>
      </c>
      <c r="H103" s="107" t="s">
        <v>186</v>
      </c>
      <c r="I103" s="109" t="s">
        <v>187</v>
      </c>
      <c r="J103" s="110">
        <v>46153</v>
      </c>
      <c r="K103" s="111" t="s">
        <v>543</v>
      </c>
      <c r="L103" s="112" t="s">
        <v>194</v>
      </c>
      <c r="M103" s="110" t="s">
        <v>250</v>
      </c>
      <c r="N103" s="113">
        <v>14290</v>
      </c>
      <c r="O103" s="113" t="s">
        <v>198</v>
      </c>
      <c r="P103" s="113" t="s">
        <v>218</v>
      </c>
      <c r="Q103" s="114">
        <f t="shared" si="32"/>
        <v>14290</v>
      </c>
      <c r="R103" s="115">
        <f t="shared" si="49"/>
        <v>0</v>
      </c>
      <c r="S103" s="115">
        <f t="shared" si="34"/>
        <v>14290</v>
      </c>
      <c r="T103" s="115">
        <f t="shared" si="35"/>
        <v>14290</v>
      </c>
      <c r="U103" s="115">
        <f t="shared" si="36"/>
        <v>14290</v>
      </c>
      <c r="V103" s="116" t="s">
        <v>187</v>
      </c>
      <c r="W103" s="117">
        <v>46153</v>
      </c>
      <c r="X103" s="118" t="s">
        <v>544</v>
      </c>
      <c r="Y103" s="119" t="s">
        <v>194</v>
      </c>
      <c r="Z103" s="120" t="s">
        <v>545</v>
      </c>
      <c r="AA103" s="121">
        <v>17250</v>
      </c>
      <c r="AB103" s="121" t="s">
        <v>198</v>
      </c>
      <c r="AC103" s="121" t="s">
        <v>218</v>
      </c>
      <c r="AD103" s="122">
        <f t="shared" si="37"/>
        <v>17250</v>
      </c>
      <c r="AE103" s="123">
        <f t="shared" si="38"/>
        <v>0</v>
      </c>
      <c r="AF103" s="123">
        <f t="shared" si="39"/>
        <v>17250</v>
      </c>
      <c r="AG103" s="123">
        <f t="shared" si="40"/>
        <v>17250</v>
      </c>
      <c r="AH103" s="123">
        <f t="shared" si="41"/>
        <v>17250</v>
      </c>
      <c r="AI103" s="124" t="s">
        <v>187</v>
      </c>
      <c r="AJ103" s="125">
        <v>46086</v>
      </c>
      <c r="AK103" s="126" t="s">
        <v>543</v>
      </c>
      <c r="AL103" s="127" t="s">
        <v>194</v>
      </c>
      <c r="AM103" s="128" t="s">
        <v>250</v>
      </c>
      <c r="AN103" s="129">
        <v>14290</v>
      </c>
      <c r="AO103" s="129" t="s">
        <v>198</v>
      </c>
      <c r="AP103" s="130" t="s">
        <v>218</v>
      </c>
      <c r="AQ103" s="131">
        <f t="shared" si="42"/>
        <v>14290</v>
      </c>
      <c r="AR103" s="132">
        <f t="shared" si="43"/>
        <v>0</v>
      </c>
      <c r="AS103" s="132">
        <f t="shared" si="44"/>
        <v>14290</v>
      </c>
      <c r="AT103" s="132">
        <f t="shared" si="45"/>
        <v>14290</v>
      </c>
      <c r="AU103" s="132">
        <f t="shared" si="46"/>
        <v>14290</v>
      </c>
      <c r="AV103" s="133">
        <f t="shared" si="27"/>
        <v>15277</v>
      </c>
      <c r="AW103" s="133">
        <f t="shared" si="28"/>
        <v>15277</v>
      </c>
      <c r="AX103" s="133">
        <f t="shared" si="29"/>
        <v>1709</v>
      </c>
      <c r="AY103" s="134">
        <f t="shared" si="47"/>
        <v>0.11186751325522026</v>
      </c>
      <c r="AZ103" s="5"/>
      <c r="BA103" s="7">
        <f t="shared" si="48"/>
        <v>3</v>
      </c>
      <c r="BB103" s="7" t="s">
        <v>301</v>
      </c>
    </row>
    <row r="104" spans="1:54" ht="108">
      <c r="A104" s="105" t="s">
        <v>181</v>
      </c>
      <c r="B104" s="105" t="s">
        <v>182</v>
      </c>
      <c r="C104" s="105">
        <v>60101402</v>
      </c>
      <c r="D104" s="105" t="s">
        <v>546</v>
      </c>
      <c r="E104" s="106" t="s">
        <v>547</v>
      </c>
      <c r="F104" s="107" t="s">
        <v>185</v>
      </c>
      <c r="G104" s="108">
        <v>1</v>
      </c>
      <c r="H104" s="107" t="s">
        <v>186</v>
      </c>
      <c r="I104" s="109" t="s">
        <v>234</v>
      </c>
      <c r="J104" s="110">
        <v>46070</v>
      </c>
      <c r="K104" s="111" t="s">
        <v>223</v>
      </c>
      <c r="L104" s="112" t="s">
        <v>194</v>
      </c>
      <c r="M104" s="110" t="s">
        <v>548</v>
      </c>
      <c r="N104" s="113">
        <v>2500</v>
      </c>
      <c r="O104" s="113" t="s">
        <v>198</v>
      </c>
      <c r="P104" s="113" t="s">
        <v>192</v>
      </c>
      <c r="Q104" s="114">
        <f t="shared" si="32"/>
        <v>2500</v>
      </c>
      <c r="R104" s="115">
        <f t="shared" si="49"/>
        <v>475</v>
      </c>
      <c r="S104" s="115">
        <f t="shared" si="34"/>
        <v>2975</v>
      </c>
      <c r="T104" s="115">
        <f t="shared" si="35"/>
        <v>2500</v>
      </c>
      <c r="U104" s="115">
        <f t="shared" si="36"/>
        <v>2975</v>
      </c>
      <c r="V104" s="116" t="s">
        <v>234</v>
      </c>
      <c r="W104" s="117">
        <v>46070</v>
      </c>
      <c r="X104" s="118" t="s">
        <v>235</v>
      </c>
      <c r="Y104" s="119" t="s">
        <v>194</v>
      </c>
      <c r="Z104" s="120" t="s">
        <v>212</v>
      </c>
      <c r="AA104" s="121">
        <v>2500</v>
      </c>
      <c r="AB104" s="121" t="s">
        <v>198</v>
      </c>
      <c r="AC104" s="121" t="s">
        <v>192</v>
      </c>
      <c r="AD104" s="122">
        <f t="shared" si="37"/>
        <v>2500</v>
      </c>
      <c r="AE104" s="123">
        <f t="shared" si="38"/>
        <v>475</v>
      </c>
      <c r="AF104" s="123">
        <f t="shared" si="39"/>
        <v>2975</v>
      </c>
      <c r="AG104" s="123">
        <f t="shared" si="40"/>
        <v>2500</v>
      </c>
      <c r="AH104" s="123">
        <f t="shared" si="41"/>
        <v>2975</v>
      </c>
      <c r="AI104" s="124" t="s">
        <v>234</v>
      </c>
      <c r="AJ104" s="125">
        <v>46071</v>
      </c>
      <c r="AK104" s="126" t="s">
        <v>193</v>
      </c>
      <c r="AL104" s="127" t="s">
        <v>194</v>
      </c>
      <c r="AM104" s="128" t="s">
        <v>205</v>
      </c>
      <c r="AN104" s="129">
        <v>2700</v>
      </c>
      <c r="AO104" s="129" t="s">
        <v>198</v>
      </c>
      <c r="AP104" s="130" t="s">
        <v>218</v>
      </c>
      <c r="AQ104" s="131">
        <f t="shared" si="42"/>
        <v>2700</v>
      </c>
      <c r="AR104" s="132">
        <f t="shared" si="43"/>
        <v>0</v>
      </c>
      <c r="AS104" s="132">
        <f t="shared" si="44"/>
        <v>2700</v>
      </c>
      <c r="AT104" s="132">
        <f t="shared" si="45"/>
        <v>2700</v>
      </c>
      <c r="AU104" s="132">
        <f t="shared" si="46"/>
        <v>2700</v>
      </c>
      <c r="AV104" s="133">
        <f t="shared" si="27"/>
        <v>2883</v>
      </c>
      <c r="AW104" s="133">
        <f t="shared" si="28"/>
        <v>2883</v>
      </c>
      <c r="AX104" s="133">
        <f t="shared" si="29"/>
        <v>159</v>
      </c>
      <c r="AY104" s="134">
        <f t="shared" si="47"/>
        <v>5.5150884495317375E-2</v>
      </c>
      <c r="AZ104" s="5"/>
      <c r="BA104" s="7">
        <f t="shared" si="48"/>
        <v>3</v>
      </c>
      <c r="BB104" s="7" t="s">
        <v>230</v>
      </c>
    </row>
    <row r="105" spans="1:54" ht="297">
      <c r="A105" s="105" t="s">
        <v>252</v>
      </c>
      <c r="B105" s="105" t="s">
        <v>252</v>
      </c>
      <c r="C105" s="105" t="s">
        <v>252</v>
      </c>
      <c r="D105" s="105" t="s">
        <v>549</v>
      </c>
      <c r="E105" s="106" t="s">
        <v>550</v>
      </c>
      <c r="F105" s="107" t="s">
        <v>255</v>
      </c>
      <c r="G105" s="108">
        <v>1</v>
      </c>
      <c r="H105" s="107"/>
      <c r="I105" s="109"/>
      <c r="J105" s="110"/>
      <c r="K105" s="111"/>
      <c r="L105" s="112"/>
      <c r="M105" s="110"/>
      <c r="N105" s="113"/>
      <c r="O105" s="113"/>
      <c r="P105" s="113"/>
      <c r="Q105" s="114" t="s">
        <v>256</v>
      </c>
      <c r="R105" s="115" t="s">
        <v>256</v>
      </c>
      <c r="S105" s="115" t="s">
        <v>256</v>
      </c>
      <c r="T105" s="115" t="s">
        <v>256</v>
      </c>
      <c r="U105" s="115" t="s">
        <v>256</v>
      </c>
      <c r="V105" s="116" t="s">
        <v>252</v>
      </c>
      <c r="W105" s="117" t="s">
        <v>252</v>
      </c>
      <c r="X105" s="118" t="s">
        <v>252</v>
      </c>
      <c r="Y105" s="119" t="s">
        <v>252</v>
      </c>
      <c r="Z105" s="120" t="s">
        <v>257</v>
      </c>
      <c r="AA105" s="121" t="s">
        <v>252</v>
      </c>
      <c r="AB105" s="121" t="s">
        <v>252</v>
      </c>
      <c r="AC105" s="121" t="s">
        <v>252</v>
      </c>
      <c r="AD105" s="122" t="s">
        <v>252</v>
      </c>
      <c r="AE105" s="123" t="s">
        <v>252</v>
      </c>
      <c r="AF105" s="123">
        <f>AH105/1.19</f>
        <v>499971.42857142858</v>
      </c>
      <c r="AG105" s="123">
        <f>AF105*19%</f>
        <v>94994.571428571435</v>
      </c>
      <c r="AH105" s="123">
        <v>594966</v>
      </c>
      <c r="AI105" s="124" t="s">
        <v>252</v>
      </c>
      <c r="AJ105" s="125" t="s">
        <v>252</v>
      </c>
      <c r="AK105" s="126" t="s">
        <v>252</v>
      </c>
      <c r="AL105" s="127" t="s">
        <v>252</v>
      </c>
      <c r="AM105" s="128" t="s">
        <v>258</v>
      </c>
      <c r="AN105" s="129" t="s">
        <v>252</v>
      </c>
      <c r="AO105" s="129" t="s">
        <v>252</v>
      </c>
      <c r="AP105" s="130" t="s">
        <v>252</v>
      </c>
      <c r="AQ105" s="131">
        <v>485478</v>
      </c>
      <c r="AR105" s="132">
        <v>92241</v>
      </c>
      <c r="AS105" s="132">
        <v>577719</v>
      </c>
      <c r="AT105" s="132">
        <v>485478</v>
      </c>
      <c r="AU105" s="132">
        <v>577719</v>
      </c>
      <c r="AV105" s="133">
        <f t="shared" si="27"/>
        <v>538845</v>
      </c>
      <c r="AW105" s="133">
        <f t="shared" si="28"/>
        <v>538845</v>
      </c>
      <c r="AX105" s="133" t="str">
        <f t="shared" si="29"/>
        <v/>
      </c>
      <c r="AY105" s="134">
        <v>2.0799999999999999E-2</v>
      </c>
      <c r="AZ105" s="5"/>
      <c r="BA105" s="7"/>
      <c r="BB105" s="7"/>
    </row>
    <row r="106" spans="1:54" ht="297">
      <c r="A106" s="105" t="s">
        <v>252</v>
      </c>
      <c r="B106" s="105" t="s">
        <v>252</v>
      </c>
      <c r="C106" s="105" t="s">
        <v>252</v>
      </c>
      <c r="D106" s="105" t="s">
        <v>551</v>
      </c>
      <c r="E106" s="106" t="s">
        <v>552</v>
      </c>
      <c r="F106" s="107" t="s">
        <v>255</v>
      </c>
      <c r="G106" s="108">
        <v>1</v>
      </c>
      <c r="H106" s="107"/>
      <c r="I106" s="109"/>
      <c r="J106" s="110"/>
      <c r="K106" s="111"/>
      <c r="L106" s="112"/>
      <c r="M106" s="110"/>
      <c r="N106" s="113"/>
      <c r="O106" s="113"/>
      <c r="P106" s="113"/>
      <c r="Q106" s="114" t="s">
        <v>256</v>
      </c>
      <c r="R106" s="115" t="s">
        <v>256</v>
      </c>
      <c r="S106" s="115" t="s">
        <v>256</v>
      </c>
      <c r="T106" s="115" t="s">
        <v>256</v>
      </c>
      <c r="U106" s="115" t="s">
        <v>256</v>
      </c>
      <c r="V106" s="116" t="s">
        <v>252</v>
      </c>
      <c r="W106" s="117" t="s">
        <v>252</v>
      </c>
      <c r="X106" s="118" t="s">
        <v>252</v>
      </c>
      <c r="Y106" s="119" t="s">
        <v>252</v>
      </c>
      <c r="Z106" s="120" t="s">
        <v>257</v>
      </c>
      <c r="AA106" s="121" t="s">
        <v>252</v>
      </c>
      <c r="AB106" s="121" t="s">
        <v>252</v>
      </c>
      <c r="AC106" s="121" t="s">
        <v>252</v>
      </c>
      <c r="AD106" s="122" t="s">
        <v>252</v>
      </c>
      <c r="AE106" s="123" t="s">
        <v>252</v>
      </c>
      <c r="AF106" s="123">
        <f>AH106/1.19</f>
        <v>338202.52100840339</v>
      </c>
      <c r="AG106" s="123">
        <f>AF106*19%</f>
        <v>64258.478991596647</v>
      </c>
      <c r="AH106" s="123">
        <v>402461</v>
      </c>
      <c r="AI106" s="124" t="s">
        <v>252</v>
      </c>
      <c r="AJ106" s="125" t="s">
        <v>252</v>
      </c>
      <c r="AK106" s="126" t="s">
        <v>252</v>
      </c>
      <c r="AL106" s="127" t="s">
        <v>252</v>
      </c>
      <c r="AM106" s="128" t="s">
        <v>258</v>
      </c>
      <c r="AN106" s="129" t="s">
        <v>252</v>
      </c>
      <c r="AO106" s="129" t="s">
        <v>252</v>
      </c>
      <c r="AP106" s="130" t="s">
        <v>252</v>
      </c>
      <c r="AQ106" s="131">
        <v>326796</v>
      </c>
      <c r="AR106" s="132">
        <v>62091</v>
      </c>
      <c r="AS106" s="132">
        <v>388888</v>
      </c>
      <c r="AT106" s="132">
        <v>326796</v>
      </c>
      <c r="AU106" s="132">
        <v>388888</v>
      </c>
      <c r="AV106" s="133">
        <f t="shared" si="27"/>
        <v>363545</v>
      </c>
      <c r="AW106" s="133">
        <f t="shared" si="28"/>
        <v>363545</v>
      </c>
      <c r="AX106" s="133" t="str">
        <f t="shared" si="29"/>
        <v/>
      </c>
      <c r="AY106" s="134">
        <v>2.4299999999999999E-2</v>
      </c>
      <c r="AZ106" s="5"/>
      <c r="BA106" s="7"/>
      <c r="BB106" s="7"/>
    </row>
    <row r="107" spans="1:54" ht="81">
      <c r="A107" s="105" t="s">
        <v>181</v>
      </c>
      <c r="B107" s="105" t="s">
        <v>182</v>
      </c>
      <c r="C107" s="105">
        <v>53103000</v>
      </c>
      <c r="D107" s="105" t="s">
        <v>553</v>
      </c>
      <c r="E107" s="106" t="s">
        <v>554</v>
      </c>
      <c r="F107" s="107" t="s">
        <v>185</v>
      </c>
      <c r="G107" s="108">
        <v>1</v>
      </c>
      <c r="H107" s="107" t="s">
        <v>186</v>
      </c>
      <c r="I107" s="109" t="s">
        <v>234</v>
      </c>
      <c r="J107" s="110">
        <v>46070</v>
      </c>
      <c r="K107" s="111" t="s">
        <v>201</v>
      </c>
      <c r="L107" s="112" t="s">
        <v>194</v>
      </c>
      <c r="M107" s="110" t="s">
        <v>197</v>
      </c>
      <c r="N107" s="113">
        <v>38000</v>
      </c>
      <c r="O107" s="113" t="s">
        <v>198</v>
      </c>
      <c r="P107" s="113" t="s">
        <v>192</v>
      </c>
      <c r="Q107" s="114">
        <f>IF(O107="IVA Incluido",(N107/1.19),N107)</f>
        <v>38000</v>
      </c>
      <c r="R107" s="115">
        <f>IF(P107="Si tiene IVA",Q107*19%,0)</f>
        <v>7220</v>
      </c>
      <c r="S107" s="115">
        <f>Q107+R107</f>
        <v>45220</v>
      </c>
      <c r="T107" s="115">
        <f>IF(B107="","",(N107*G107))</f>
        <v>38000</v>
      </c>
      <c r="U107" s="115">
        <f>IF(B107="","",(S107*G107))</f>
        <v>45220</v>
      </c>
      <c r="V107" s="116" t="s">
        <v>234</v>
      </c>
      <c r="W107" s="117">
        <v>46070</v>
      </c>
      <c r="X107" s="118" t="s">
        <v>223</v>
      </c>
      <c r="Y107" s="119" t="s">
        <v>194</v>
      </c>
      <c r="Z107" s="120" t="s">
        <v>548</v>
      </c>
      <c r="AA107" s="121">
        <v>38000</v>
      </c>
      <c r="AB107" s="121" t="s">
        <v>198</v>
      </c>
      <c r="AC107" s="121" t="s">
        <v>192</v>
      </c>
      <c r="AD107" s="122">
        <f>IF(AB107="IVA Incluido",(AA107/1.19),AA107)</f>
        <v>38000</v>
      </c>
      <c r="AE107" s="123">
        <f>IF(AC107="Si tiene IVA",AD107*19%,0)</f>
        <v>7220</v>
      </c>
      <c r="AF107" s="123">
        <f>AD107+AE107</f>
        <v>45220</v>
      </c>
      <c r="AG107" s="123">
        <f>IF(O107="","",(AA107*G107))</f>
        <v>38000</v>
      </c>
      <c r="AH107" s="123">
        <f>IF(O107="","",(AF107*G107))</f>
        <v>45220</v>
      </c>
      <c r="AI107" s="124" t="s">
        <v>234</v>
      </c>
      <c r="AJ107" s="125">
        <v>46071</v>
      </c>
      <c r="AK107" s="126" t="s">
        <v>216</v>
      </c>
      <c r="AL107" s="127" t="s">
        <v>194</v>
      </c>
      <c r="AM107" s="128" t="s">
        <v>555</v>
      </c>
      <c r="AN107" s="129">
        <v>38000</v>
      </c>
      <c r="AO107" s="129" t="s">
        <v>198</v>
      </c>
      <c r="AP107" s="130" t="s">
        <v>218</v>
      </c>
      <c r="AQ107" s="131">
        <f>IF(AO107="IVA Incluido",(AN107/1.19),AN107)</f>
        <v>38000</v>
      </c>
      <c r="AR107" s="132">
        <f>IF(AP107="Si tiene IVA",AQ107*19%,0)</f>
        <v>0</v>
      </c>
      <c r="AS107" s="132">
        <f>AQ107+AR107</f>
        <v>38000</v>
      </c>
      <c r="AT107" s="132">
        <f>IF(AB107="","",(AN107*G107))</f>
        <v>38000</v>
      </c>
      <c r="AU107" s="132">
        <f>IF(AB107="","",(AS107*G107))</f>
        <v>38000</v>
      </c>
      <c r="AV107" s="133">
        <f t="shared" si="27"/>
        <v>42813</v>
      </c>
      <c r="AW107" s="133">
        <f t="shared" si="28"/>
        <v>42813</v>
      </c>
      <c r="AX107" s="133">
        <f t="shared" si="29"/>
        <v>4168</v>
      </c>
      <c r="AY107" s="134">
        <f>IF(N107="","",(AX107/AW107))</f>
        <v>9.735360754910892E-2</v>
      </c>
      <c r="AZ107" s="5"/>
      <c r="BA107" s="7">
        <f>COUNTA(M107,Z107,AM107)</f>
        <v>3</v>
      </c>
      <c r="BB107" s="7" t="s">
        <v>230</v>
      </c>
    </row>
    <row r="108" spans="1:54" ht="60">
      <c r="A108" s="105" t="s">
        <v>181</v>
      </c>
      <c r="B108" s="105" t="s">
        <v>182</v>
      </c>
      <c r="C108" s="105">
        <v>53103000</v>
      </c>
      <c r="D108" s="105" t="s">
        <v>556</v>
      </c>
      <c r="E108" s="106" t="s">
        <v>557</v>
      </c>
      <c r="F108" s="107" t="s">
        <v>185</v>
      </c>
      <c r="G108" s="108">
        <v>1</v>
      </c>
      <c r="H108" s="107" t="s">
        <v>186</v>
      </c>
      <c r="I108" s="109" t="s">
        <v>234</v>
      </c>
      <c r="J108" s="110">
        <v>46072</v>
      </c>
      <c r="K108" s="111" t="s">
        <v>236</v>
      </c>
      <c r="L108" s="112" t="s">
        <v>194</v>
      </c>
      <c r="M108" s="110" t="s">
        <v>237</v>
      </c>
      <c r="N108" s="113">
        <v>22000</v>
      </c>
      <c r="O108" s="113" t="s">
        <v>198</v>
      </c>
      <c r="P108" s="113" t="s">
        <v>218</v>
      </c>
      <c r="Q108" s="114">
        <f>IF(O108="IVA Incluido",(N108/1.19),N108)</f>
        <v>22000</v>
      </c>
      <c r="R108" s="115">
        <f>IF(P108="Si tiene IVA",Q108*19%,0)</f>
        <v>0</v>
      </c>
      <c r="S108" s="115">
        <f>Q108+R108</f>
        <v>22000</v>
      </c>
      <c r="T108" s="115">
        <f>IF(B108="","",(N108*G108))</f>
        <v>22000</v>
      </c>
      <c r="U108" s="115">
        <f>IF(B108="","",(S108*G108))</f>
        <v>22000</v>
      </c>
      <c r="V108" s="116" t="s">
        <v>234</v>
      </c>
      <c r="W108" s="117">
        <v>46072</v>
      </c>
      <c r="X108" s="118" t="s">
        <v>216</v>
      </c>
      <c r="Y108" s="119" t="s">
        <v>194</v>
      </c>
      <c r="Z108" s="120" t="s">
        <v>217</v>
      </c>
      <c r="AA108" s="121">
        <v>28000</v>
      </c>
      <c r="AB108" s="121" t="s">
        <v>198</v>
      </c>
      <c r="AC108" s="121"/>
      <c r="AD108" s="122">
        <f>IF(AB108="IVA Incluido",(AA108/1.19),AA108)</f>
        <v>28000</v>
      </c>
      <c r="AE108" s="123">
        <f>IF(AC108="Si tiene IVA",AD108*19%,0)</f>
        <v>0</v>
      </c>
      <c r="AF108" s="123">
        <f>AD108+AE108</f>
        <v>28000</v>
      </c>
      <c r="AG108" s="123">
        <f>IF(O108="","",(AA108*G108))</f>
        <v>28000</v>
      </c>
      <c r="AH108" s="123">
        <f>IF(O108="","",(AF108*G108))</f>
        <v>28000</v>
      </c>
      <c r="AI108" s="124" t="s">
        <v>234</v>
      </c>
      <c r="AJ108" s="125">
        <v>46072</v>
      </c>
      <c r="AK108" s="126" t="s">
        <v>235</v>
      </c>
      <c r="AL108" s="127" t="s">
        <v>194</v>
      </c>
      <c r="AM108" s="128" t="s">
        <v>212</v>
      </c>
      <c r="AN108" s="129">
        <v>25000</v>
      </c>
      <c r="AO108" s="129" t="s">
        <v>198</v>
      </c>
      <c r="AP108" s="130" t="s">
        <v>192</v>
      </c>
      <c r="AQ108" s="131">
        <f>IF(AO108="IVA Incluido",(AN108/1.19),AN108)</f>
        <v>25000</v>
      </c>
      <c r="AR108" s="132">
        <f>IF(AP108="Si tiene IVA",AQ108*19%,0)</f>
        <v>4750</v>
      </c>
      <c r="AS108" s="132">
        <f>AQ108+AR108</f>
        <v>29750</v>
      </c>
      <c r="AT108" s="132">
        <f>IF(AB108="","",(AN108*G108))</f>
        <v>25000</v>
      </c>
      <c r="AU108" s="132">
        <f>IF(AB108="","",(AS108*G108))</f>
        <v>29750</v>
      </c>
      <c r="AV108" s="133">
        <f t="shared" si="27"/>
        <v>26583</v>
      </c>
      <c r="AW108" s="133">
        <f t="shared" si="28"/>
        <v>26583</v>
      </c>
      <c r="AX108" s="133">
        <f t="shared" si="29"/>
        <v>4065</v>
      </c>
      <c r="AY108" s="134">
        <f>IF(N108="","",(AX108/AW108))</f>
        <v>0.15291727795959825</v>
      </c>
      <c r="AZ108" s="5"/>
      <c r="BA108" s="7">
        <f>COUNTA(M108,Z108,AM108)</f>
        <v>3</v>
      </c>
      <c r="BB108" s="7" t="s">
        <v>558</v>
      </c>
    </row>
    <row r="109" spans="1:54" ht="297">
      <c r="A109" s="105" t="s">
        <v>252</v>
      </c>
      <c r="B109" s="105" t="s">
        <v>252</v>
      </c>
      <c r="C109" s="105" t="s">
        <v>252</v>
      </c>
      <c r="D109" s="105" t="s">
        <v>559</v>
      </c>
      <c r="E109" s="106" t="s">
        <v>560</v>
      </c>
      <c r="F109" s="107" t="s">
        <v>255</v>
      </c>
      <c r="G109" s="108">
        <v>1</v>
      </c>
      <c r="H109" s="107"/>
      <c r="I109" s="109" t="s">
        <v>252</v>
      </c>
      <c r="J109" s="110" t="s">
        <v>252</v>
      </c>
      <c r="K109" s="111" t="s">
        <v>252</v>
      </c>
      <c r="L109" s="112" t="s">
        <v>252</v>
      </c>
      <c r="M109" s="110" t="s">
        <v>252</v>
      </c>
      <c r="N109" s="113"/>
      <c r="O109" s="113"/>
      <c r="P109" s="113"/>
      <c r="Q109" s="114">
        <v>5000000</v>
      </c>
      <c r="R109" s="115">
        <v>950000</v>
      </c>
      <c r="S109" s="115">
        <v>5950000</v>
      </c>
      <c r="T109" s="115">
        <v>5000000</v>
      </c>
      <c r="U109" s="115">
        <v>5950000</v>
      </c>
      <c r="V109" s="116" t="s">
        <v>252</v>
      </c>
      <c r="W109" s="117" t="s">
        <v>252</v>
      </c>
      <c r="X109" s="118" t="s">
        <v>252</v>
      </c>
      <c r="Y109" s="119" t="s">
        <v>252</v>
      </c>
      <c r="Z109" s="120" t="s">
        <v>257</v>
      </c>
      <c r="AA109" s="121" t="s">
        <v>252</v>
      </c>
      <c r="AB109" s="121" t="s">
        <v>252</v>
      </c>
      <c r="AC109" s="121" t="s">
        <v>252</v>
      </c>
      <c r="AD109" s="122" t="s">
        <v>252</v>
      </c>
      <c r="AE109" s="123" t="s">
        <v>252</v>
      </c>
      <c r="AF109" s="123">
        <f>AH109/1.19</f>
        <v>5062650.4201680673</v>
      </c>
      <c r="AG109" s="123">
        <f>AF109*19%</f>
        <v>961903.57983193279</v>
      </c>
      <c r="AH109" s="123">
        <v>6024554</v>
      </c>
      <c r="AI109" s="124" t="s">
        <v>252</v>
      </c>
      <c r="AJ109" s="125" t="s">
        <v>252</v>
      </c>
      <c r="AK109" s="126" t="s">
        <v>252</v>
      </c>
      <c r="AL109" s="127" t="s">
        <v>252</v>
      </c>
      <c r="AM109" s="128" t="s">
        <v>258</v>
      </c>
      <c r="AN109" s="129" t="s">
        <v>252</v>
      </c>
      <c r="AO109" s="129" t="s">
        <v>252</v>
      </c>
      <c r="AP109" s="130" t="s">
        <v>252</v>
      </c>
      <c r="AQ109" s="131">
        <v>4987833</v>
      </c>
      <c r="AR109" s="132">
        <v>947688</v>
      </c>
      <c r="AS109" s="132">
        <v>5935521</v>
      </c>
      <c r="AT109" s="132">
        <v>4987833</v>
      </c>
      <c r="AU109" s="132">
        <v>5935521</v>
      </c>
      <c r="AV109" s="133">
        <f t="shared" si="27"/>
        <v>5649390</v>
      </c>
      <c r="AW109" s="133">
        <f t="shared" si="28"/>
        <v>5649390</v>
      </c>
      <c r="AX109" s="133" t="str">
        <f t="shared" si="29"/>
        <v/>
      </c>
      <c r="AY109" s="134">
        <v>8.0000000000000002E-3</v>
      </c>
      <c r="AZ109" s="5"/>
      <c r="BA109" s="7"/>
      <c r="BB109" s="7"/>
    </row>
    <row r="110" spans="1:54" ht="94.5">
      <c r="A110" s="105" t="s">
        <v>181</v>
      </c>
      <c r="B110" s="105" t="s">
        <v>259</v>
      </c>
      <c r="C110" s="105">
        <v>60121148</v>
      </c>
      <c r="D110" s="105" t="s">
        <v>561</v>
      </c>
      <c r="E110" s="106" t="s">
        <v>562</v>
      </c>
      <c r="F110" s="107" t="s">
        <v>185</v>
      </c>
      <c r="G110" s="108">
        <v>1</v>
      </c>
      <c r="H110" s="107" t="s">
        <v>186</v>
      </c>
      <c r="I110" s="109" t="s">
        <v>200</v>
      </c>
      <c r="J110" s="110">
        <v>46069</v>
      </c>
      <c r="K110" s="111" t="s">
        <v>488</v>
      </c>
      <c r="L110" s="112" t="s">
        <v>194</v>
      </c>
      <c r="M110" s="110" t="s">
        <v>489</v>
      </c>
      <c r="N110" s="113">
        <v>2171</v>
      </c>
      <c r="O110" s="113" t="s">
        <v>198</v>
      </c>
      <c r="P110" s="113" t="s">
        <v>192</v>
      </c>
      <c r="Q110" s="114">
        <f t="shared" ref="Q110:Q119" si="50">IF(O110="IVA Incluido",(N110/1.19),N110)</f>
        <v>2171</v>
      </c>
      <c r="R110" s="115">
        <f t="shared" ref="R110:R119" si="51">IF(P110="Si tiene IVA",Q110*19%,0)</f>
        <v>412.49</v>
      </c>
      <c r="S110" s="115">
        <f t="shared" ref="S110:S119" si="52">Q110+R110</f>
        <v>2583.4899999999998</v>
      </c>
      <c r="T110" s="115">
        <f t="shared" ref="T110:T119" si="53">IF(B110="","",(N110*G110))</f>
        <v>2171</v>
      </c>
      <c r="U110" s="115" t="s">
        <v>563</v>
      </c>
      <c r="V110" s="116" t="s">
        <v>200</v>
      </c>
      <c r="W110" s="117">
        <v>46069</v>
      </c>
      <c r="X110" s="118" t="s">
        <v>490</v>
      </c>
      <c r="Y110" s="119" t="s">
        <v>194</v>
      </c>
      <c r="Z110" s="120" t="s">
        <v>491</v>
      </c>
      <c r="AA110" s="121">
        <v>2185</v>
      </c>
      <c r="AB110" s="121" t="s">
        <v>198</v>
      </c>
      <c r="AC110" s="121" t="s">
        <v>192</v>
      </c>
      <c r="AD110" s="122">
        <v>2185</v>
      </c>
      <c r="AE110" s="123">
        <f t="shared" ref="AE110:AE119" si="54">IF(AC110="Si tiene IVA",AD110*19%,0)</f>
        <v>415.15</v>
      </c>
      <c r="AF110" s="123">
        <f t="shared" ref="AF110:AF119" si="55">AD110+AE110</f>
        <v>2600.15</v>
      </c>
      <c r="AG110" s="123">
        <f t="shared" ref="AG110:AG119" si="56">IF(O110="","",(AA110*G110))</f>
        <v>2185</v>
      </c>
      <c r="AH110" s="123">
        <f t="shared" ref="AH110:AH119" si="57">IF(O110="","",(AF110*G110))</f>
        <v>2600.15</v>
      </c>
      <c r="AI110" s="124" t="s">
        <v>200</v>
      </c>
      <c r="AJ110" s="125">
        <v>46069</v>
      </c>
      <c r="AK110" s="126" t="s">
        <v>564</v>
      </c>
      <c r="AL110" s="127" t="s">
        <v>194</v>
      </c>
      <c r="AM110" s="128" t="s">
        <v>565</v>
      </c>
      <c r="AN110" s="129">
        <v>2800</v>
      </c>
      <c r="AO110" s="129" t="s">
        <v>191</v>
      </c>
      <c r="AP110" s="130" t="s">
        <v>192</v>
      </c>
      <c r="AQ110" s="131">
        <f t="shared" ref="AQ110:AQ119" si="58">IF(AO110="IVA Incluido",(AN110/1.19),AN110)</f>
        <v>2352.9411764705883</v>
      </c>
      <c r="AR110" s="132">
        <f t="shared" ref="AR110:AR119" si="59">IF(AP110="Si tiene IVA",AQ110*19%,0)</f>
        <v>447.05882352941177</v>
      </c>
      <c r="AS110" s="132">
        <f t="shared" ref="AS110:AS119" si="60">AQ110+AR110</f>
        <v>2800</v>
      </c>
      <c r="AT110" s="132">
        <f t="shared" ref="AT110:AT119" si="61">IF(AB110="","",(AN110*G110))</f>
        <v>2800</v>
      </c>
      <c r="AU110" s="132">
        <f t="shared" ref="AU110:AU119" si="62">IF(AB110="","",(AS110*G110))</f>
        <v>2800</v>
      </c>
      <c r="AV110" s="133">
        <f t="shared" si="27"/>
        <v>2661</v>
      </c>
      <c r="AW110" s="133">
        <f t="shared" si="28"/>
        <v>2661</v>
      </c>
      <c r="AX110" s="133">
        <f t="shared" si="29"/>
        <v>141</v>
      </c>
      <c r="AY110" s="134">
        <f t="shared" ref="AY110:AY119" si="63">IF(N110="","",(AX110/AW110))</f>
        <v>5.2987598647125142E-2</v>
      </c>
      <c r="AZ110" s="5"/>
      <c r="BA110" s="7">
        <f t="shared" ref="BA110:BA119" si="64">COUNTA(M110,Z110,AM110)</f>
        <v>3</v>
      </c>
      <c r="BB110" s="7"/>
    </row>
    <row r="111" spans="1:54" ht="54">
      <c r="A111" s="105" t="s">
        <v>181</v>
      </c>
      <c r="B111" s="105" t="s">
        <v>259</v>
      </c>
      <c r="C111" s="105">
        <v>60121148</v>
      </c>
      <c r="D111" s="105" t="s">
        <v>566</v>
      </c>
      <c r="E111" s="106" t="s">
        <v>567</v>
      </c>
      <c r="F111" s="107" t="s">
        <v>185</v>
      </c>
      <c r="G111" s="108">
        <v>1</v>
      </c>
      <c r="H111" s="107" t="s">
        <v>186</v>
      </c>
      <c r="I111" s="109" t="s">
        <v>200</v>
      </c>
      <c r="J111" s="110">
        <v>46069</v>
      </c>
      <c r="K111" s="111" t="s">
        <v>447</v>
      </c>
      <c r="L111" s="112" t="s">
        <v>194</v>
      </c>
      <c r="M111" s="110" t="s">
        <v>482</v>
      </c>
      <c r="N111" s="113">
        <v>9000</v>
      </c>
      <c r="O111" s="113" t="s">
        <v>191</v>
      </c>
      <c r="P111" s="113" t="s">
        <v>192</v>
      </c>
      <c r="Q111" s="114">
        <f t="shared" si="50"/>
        <v>7563.0252100840344</v>
      </c>
      <c r="R111" s="115">
        <f t="shared" si="51"/>
        <v>1436.9747899159665</v>
      </c>
      <c r="S111" s="115">
        <f t="shared" si="52"/>
        <v>9000</v>
      </c>
      <c r="T111" s="115">
        <f t="shared" si="53"/>
        <v>9000</v>
      </c>
      <c r="U111" s="115">
        <f t="shared" ref="U111:U119" si="65">IF(B111="","",(S111*G111))</f>
        <v>9000</v>
      </c>
      <c r="V111" s="116" t="s">
        <v>200</v>
      </c>
      <c r="W111" s="117">
        <v>46069</v>
      </c>
      <c r="X111" s="118" t="s">
        <v>490</v>
      </c>
      <c r="Y111" s="119" t="s">
        <v>194</v>
      </c>
      <c r="Z111" s="120" t="s">
        <v>491</v>
      </c>
      <c r="AA111" s="121">
        <v>6050</v>
      </c>
      <c r="AB111" s="121" t="s">
        <v>198</v>
      </c>
      <c r="AC111" s="121" t="s">
        <v>192</v>
      </c>
      <c r="AD111" s="122">
        <f t="shared" ref="AD111:AD119" si="66">IF(AB111="IVA Incluido",(AA111/1.19),AA111)</f>
        <v>6050</v>
      </c>
      <c r="AE111" s="123">
        <f t="shared" si="54"/>
        <v>1149.5</v>
      </c>
      <c r="AF111" s="123">
        <f t="shared" si="55"/>
        <v>7199.5</v>
      </c>
      <c r="AG111" s="123">
        <f t="shared" si="56"/>
        <v>6050</v>
      </c>
      <c r="AH111" s="123">
        <f t="shared" si="57"/>
        <v>7199.5</v>
      </c>
      <c r="AI111" s="124" t="s">
        <v>200</v>
      </c>
      <c r="AJ111" s="125">
        <v>46069</v>
      </c>
      <c r="AK111" s="126" t="s">
        <v>445</v>
      </c>
      <c r="AL111" s="127" t="s">
        <v>194</v>
      </c>
      <c r="AM111" s="128" t="s">
        <v>511</v>
      </c>
      <c r="AN111" s="129">
        <v>10000</v>
      </c>
      <c r="AO111" s="129" t="s">
        <v>191</v>
      </c>
      <c r="AP111" s="130" t="s">
        <v>192</v>
      </c>
      <c r="AQ111" s="131">
        <f t="shared" si="58"/>
        <v>8403.361344537816</v>
      </c>
      <c r="AR111" s="132">
        <f t="shared" si="59"/>
        <v>1596.6386554621849</v>
      </c>
      <c r="AS111" s="132">
        <f t="shared" si="60"/>
        <v>10000</v>
      </c>
      <c r="AT111" s="132">
        <f t="shared" si="61"/>
        <v>10000</v>
      </c>
      <c r="AU111" s="132">
        <f t="shared" si="62"/>
        <v>10000</v>
      </c>
      <c r="AV111" s="133">
        <f t="shared" si="27"/>
        <v>8733</v>
      </c>
      <c r="AW111" s="133">
        <f t="shared" si="28"/>
        <v>8733</v>
      </c>
      <c r="AX111" s="133">
        <f t="shared" si="29"/>
        <v>1419</v>
      </c>
      <c r="AY111" s="134">
        <f t="shared" si="63"/>
        <v>0.16248711782892478</v>
      </c>
      <c r="AZ111" s="5"/>
      <c r="BA111" s="7">
        <f t="shared" si="64"/>
        <v>3</v>
      </c>
      <c r="BB111" s="7"/>
    </row>
    <row r="112" spans="1:54" ht="54">
      <c r="A112" s="105" t="s">
        <v>181</v>
      </c>
      <c r="B112" s="105" t="s">
        <v>259</v>
      </c>
      <c r="C112" s="105"/>
      <c r="D112" s="105" t="s">
        <v>568</v>
      </c>
      <c r="E112" s="106" t="s">
        <v>569</v>
      </c>
      <c r="F112" s="107" t="s">
        <v>185</v>
      </c>
      <c r="G112" s="108">
        <v>1</v>
      </c>
      <c r="H112" s="107" t="s">
        <v>186</v>
      </c>
      <c r="I112" s="109" t="s">
        <v>200</v>
      </c>
      <c r="J112" s="110">
        <v>46070</v>
      </c>
      <c r="K112" s="111" t="s">
        <v>507</v>
      </c>
      <c r="L112" s="112" t="s">
        <v>194</v>
      </c>
      <c r="M112" s="110" t="s">
        <v>570</v>
      </c>
      <c r="N112" s="113">
        <v>2000</v>
      </c>
      <c r="O112" s="113" t="s">
        <v>191</v>
      </c>
      <c r="P112" s="113" t="s">
        <v>192</v>
      </c>
      <c r="Q112" s="114">
        <f t="shared" si="50"/>
        <v>1680.6722689075632</v>
      </c>
      <c r="R112" s="115">
        <f t="shared" si="51"/>
        <v>319.32773109243703</v>
      </c>
      <c r="S112" s="115">
        <f t="shared" si="52"/>
        <v>2000.0000000000002</v>
      </c>
      <c r="T112" s="115">
        <f t="shared" si="53"/>
        <v>2000</v>
      </c>
      <c r="U112" s="115">
        <f t="shared" si="65"/>
        <v>2000.0000000000002</v>
      </c>
      <c r="V112" s="116" t="s">
        <v>200</v>
      </c>
      <c r="W112" s="117">
        <v>46070</v>
      </c>
      <c r="X112" s="118" t="s">
        <v>571</v>
      </c>
      <c r="Y112" s="119" t="s">
        <v>194</v>
      </c>
      <c r="Z112" s="120" t="s">
        <v>572</v>
      </c>
      <c r="AA112" s="121">
        <v>2400</v>
      </c>
      <c r="AB112" s="121" t="s">
        <v>191</v>
      </c>
      <c r="AC112" s="121" t="s">
        <v>192</v>
      </c>
      <c r="AD112" s="122">
        <f t="shared" si="66"/>
        <v>2016.8067226890757</v>
      </c>
      <c r="AE112" s="123">
        <f t="shared" si="54"/>
        <v>383.19327731092437</v>
      </c>
      <c r="AF112" s="123">
        <f t="shared" si="55"/>
        <v>2400</v>
      </c>
      <c r="AG112" s="123">
        <f t="shared" si="56"/>
        <v>2400</v>
      </c>
      <c r="AH112" s="123">
        <f t="shared" si="57"/>
        <v>2400</v>
      </c>
      <c r="AI112" s="124" t="s">
        <v>200</v>
      </c>
      <c r="AJ112" s="125">
        <v>46070</v>
      </c>
      <c r="AK112" s="126" t="s">
        <v>573</v>
      </c>
      <c r="AL112" s="127" t="s">
        <v>194</v>
      </c>
      <c r="AM112" s="128" t="s">
        <v>574</v>
      </c>
      <c r="AN112" s="129">
        <v>2800</v>
      </c>
      <c r="AO112" s="129" t="s">
        <v>191</v>
      </c>
      <c r="AP112" s="130" t="s">
        <v>192</v>
      </c>
      <c r="AQ112" s="131">
        <f t="shared" si="58"/>
        <v>2352.9411764705883</v>
      </c>
      <c r="AR112" s="132">
        <f t="shared" si="59"/>
        <v>447.05882352941177</v>
      </c>
      <c r="AS112" s="132">
        <f t="shared" si="60"/>
        <v>2800</v>
      </c>
      <c r="AT112" s="132">
        <f t="shared" si="61"/>
        <v>2800</v>
      </c>
      <c r="AU112" s="132">
        <f t="shared" si="62"/>
        <v>2800</v>
      </c>
      <c r="AV112" s="133">
        <f t="shared" si="27"/>
        <v>2400</v>
      </c>
      <c r="AW112" s="133">
        <f t="shared" si="28"/>
        <v>2400</v>
      </c>
      <c r="AX112" s="133">
        <f t="shared" si="29"/>
        <v>400</v>
      </c>
      <c r="AY112" s="134">
        <f t="shared" si="63"/>
        <v>0.16666666666666666</v>
      </c>
      <c r="AZ112" s="5"/>
      <c r="BA112" s="7">
        <f t="shared" si="64"/>
        <v>3</v>
      </c>
      <c r="BB112" s="7"/>
    </row>
    <row r="113" spans="1:54" ht="54">
      <c r="A113" s="105" t="s">
        <v>181</v>
      </c>
      <c r="B113" s="105" t="s">
        <v>259</v>
      </c>
      <c r="C113" s="105">
        <v>14111519</v>
      </c>
      <c r="D113" s="105" t="s">
        <v>575</v>
      </c>
      <c r="E113" s="106" t="s">
        <v>576</v>
      </c>
      <c r="F113" s="107" t="s">
        <v>185</v>
      </c>
      <c r="G113" s="108">
        <v>1</v>
      </c>
      <c r="H113" s="107" t="s">
        <v>186</v>
      </c>
      <c r="I113" s="109" t="s">
        <v>200</v>
      </c>
      <c r="J113" s="110">
        <v>46070</v>
      </c>
      <c r="K113" s="111" t="s">
        <v>488</v>
      </c>
      <c r="L113" s="112" t="s">
        <v>194</v>
      </c>
      <c r="M113" s="110" t="s">
        <v>489</v>
      </c>
      <c r="N113" s="113">
        <v>7990</v>
      </c>
      <c r="O113" s="113" t="s">
        <v>198</v>
      </c>
      <c r="P113" s="113" t="s">
        <v>192</v>
      </c>
      <c r="Q113" s="114">
        <f t="shared" si="50"/>
        <v>7990</v>
      </c>
      <c r="R113" s="115">
        <f t="shared" si="51"/>
        <v>1518.1</v>
      </c>
      <c r="S113" s="115">
        <f t="shared" si="52"/>
        <v>9508.1</v>
      </c>
      <c r="T113" s="115">
        <f t="shared" si="53"/>
        <v>7990</v>
      </c>
      <c r="U113" s="115">
        <f t="shared" si="65"/>
        <v>9508.1</v>
      </c>
      <c r="V113" s="116" t="s">
        <v>200</v>
      </c>
      <c r="W113" s="117">
        <v>46070</v>
      </c>
      <c r="X113" s="118" t="s">
        <v>264</v>
      </c>
      <c r="Y113" s="119" t="s">
        <v>194</v>
      </c>
      <c r="Z113" s="120" t="s">
        <v>265</v>
      </c>
      <c r="AA113" s="121">
        <v>7774</v>
      </c>
      <c r="AB113" s="121" t="s">
        <v>198</v>
      </c>
      <c r="AC113" s="121" t="s">
        <v>192</v>
      </c>
      <c r="AD113" s="122">
        <f t="shared" si="66"/>
        <v>7774</v>
      </c>
      <c r="AE113" s="123">
        <f t="shared" si="54"/>
        <v>1477.06</v>
      </c>
      <c r="AF113" s="123">
        <f t="shared" si="55"/>
        <v>9251.06</v>
      </c>
      <c r="AG113" s="123">
        <f t="shared" si="56"/>
        <v>7774</v>
      </c>
      <c r="AH113" s="123">
        <f t="shared" si="57"/>
        <v>9251.06</v>
      </c>
      <c r="AI113" s="124" t="s">
        <v>200</v>
      </c>
      <c r="AJ113" s="125">
        <v>46070</v>
      </c>
      <c r="AK113" s="126" t="s">
        <v>577</v>
      </c>
      <c r="AL113" s="127" t="s">
        <v>194</v>
      </c>
      <c r="AM113" s="128" t="s">
        <v>578</v>
      </c>
      <c r="AN113" s="129">
        <v>11000</v>
      </c>
      <c r="AO113" s="129" t="s">
        <v>191</v>
      </c>
      <c r="AP113" s="130" t="s">
        <v>192</v>
      </c>
      <c r="AQ113" s="131">
        <f t="shared" si="58"/>
        <v>9243.6974789915967</v>
      </c>
      <c r="AR113" s="132">
        <f t="shared" si="59"/>
        <v>1756.3025210084033</v>
      </c>
      <c r="AS113" s="132">
        <f t="shared" si="60"/>
        <v>11000</v>
      </c>
      <c r="AT113" s="132">
        <f t="shared" si="61"/>
        <v>11000</v>
      </c>
      <c r="AU113" s="132">
        <f t="shared" si="62"/>
        <v>11000</v>
      </c>
      <c r="AV113" s="133">
        <f t="shared" si="27"/>
        <v>9920</v>
      </c>
      <c r="AW113" s="133">
        <f t="shared" si="28"/>
        <v>9920</v>
      </c>
      <c r="AX113" s="133">
        <f t="shared" si="29"/>
        <v>944</v>
      </c>
      <c r="AY113" s="134">
        <f t="shared" si="63"/>
        <v>9.5161290322580638E-2</v>
      </c>
      <c r="AZ113" s="5"/>
      <c r="BA113" s="7">
        <f t="shared" si="64"/>
        <v>3</v>
      </c>
      <c r="BB113" s="7"/>
    </row>
    <row r="114" spans="1:54" ht="40.5">
      <c r="A114" s="105" t="s">
        <v>181</v>
      </c>
      <c r="B114" s="105" t="s">
        <v>259</v>
      </c>
      <c r="C114" s="105">
        <v>14111519</v>
      </c>
      <c r="D114" s="105" t="s">
        <v>579</v>
      </c>
      <c r="E114" s="106" t="s">
        <v>580</v>
      </c>
      <c r="F114" s="107" t="s">
        <v>185</v>
      </c>
      <c r="G114" s="108">
        <v>1</v>
      </c>
      <c r="H114" s="107" t="s">
        <v>186</v>
      </c>
      <c r="I114" s="109" t="s">
        <v>200</v>
      </c>
      <c r="J114" s="110">
        <v>46070</v>
      </c>
      <c r="K114" s="111" t="s">
        <v>445</v>
      </c>
      <c r="L114" s="112" t="s">
        <v>194</v>
      </c>
      <c r="M114" s="110" t="s">
        <v>511</v>
      </c>
      <c r="N114" s="113">
        <v>1200</v>
      </c>
      <c r="O114" s="113" t="s">
        <v>191</v>
      </c>
      <c r="P114" s="113" t="s">
        <v>192</v>
      </c>
      <c r="Q114" s="114">
        <f t="shared" si="50"/>
        <v>1008.4033613445379</v>
      </c>
      <c r="R114" s="115">
        <f t="shared" si="51"/>
        <v>191.59663865546219</v>
      </c>
      <c r="S114" s="115">
        <f t="shared" si="52"/>
        <v>1200</v>
      </c>
      <c r="T114" s="115">
        <f t="shared" si="53"/>
        <v>1200</v>
      </c>
      <c r="U114" s="115">
        <f t="shared" si="65"/>
        <v>1200</v>
      </c>
      <c r="V114" s="116" t="s">
        <v>200</v>
      </c>
      <c r="W114" s="117">
        <v>46070</v>
      </c>
      <c r="X114" s="118" t="s">
        <v>266</v>
      </c>
      <c r="Y114" s="119" t="s">
        <v>194</v>
      </c>
      <c r="Z114" s="120" t="s">
        <v>506</v>
      </c>
      <c r="AA114" s="121">
        <v>1500</v>
      </c>
      <c r="AB114" s="121" t="s">
        <v>191</v>
      </c>
      <c r="AC114" s="121" t="s">
        <v>192</v>
      </c>
      <c r="AD114" s="122">
        <f t="shared" si="66"/>
        <v>1260.5042016806724</v>
      </c>
      <c r="AE114" s="123">
        <f t="shared" si="54"/>
        <v>239.49579831932775</v>
      </c>
      <c r="AF114" s="123">
        <f t="shared" si="55"/>
        <v>1500.0000000000002</v>
      </c>
      <c r="AG114" s="123">
        <f t="shared" si="56"/>
        <v>1500</v>
      </c>
      <c r="AH114" s="123">
        <f t="shared" si="57"/>
        <v>1500.0000000000002</v>
      </c>
      <c r="AI114" s="124" t="s">
        <v>200</v>
      </c>
      <c r="AJ114" s="125">
        <v>46070</v>
      </c>
      <c r="AK114" s="126" t="s">
        <v>488</v>
      </c>
      <c r="AL114" s="127" t="s">
        <v>194</v>
      </c>
      <c r="AM114" s="128" t="s">
        <v>489</v>
      </c>
      <c r="AN114" s="129">
        <v>1050</v>
      </c>
      <c r="AO114" s="129" t="s">
        <v>198</v>
      </c>
      <c r="AP114" s="130" t="s">
        <v>192</v>
      </c>
      <c r="AQ114" s="131">
        <f t="shared" si="58"/>
        <v>1050</v>
      </c>
      <c r="AR114" s="132">
        <f t="shared" si="59"/>
        <v>199.5</v>
      </c>
      <c r="AS114" s="132">
        <f t="shared" si="60"/>
        <v>1249.5</v>
      </c>
      <c r="AT114" s="132">
        <f t="shared" si="61"/>
        <v>1050</v>
      </c>
      <c r="AU114" s="132">
        <f t="shared" si="62"/>
        <v>1249.5</v>
      </c>
      <c r="AV114" s="133">
        <f t="shared" si="27"/>
        <v>1317</v>
      </c>
      <c r="AW114" s="133">
        <f t="shared" si="28"/>
        <v>1317</v>
      </c>
      <c r="AX114" s="133">
        <f t="shared" si="29"/>
        <v>161</v>
      </c>
      <c r="AY114" s="134">
        <f t="shared" si="63"/>
        <v>0.12224753227031131</v>
      </c>
      <c r="AZ114" s="5"/>
      <c r="BA114" s="7">
        <f t="shared" si="64"/>
        <v>3</v>
      </c>
      <c r="BB114" s="7"/>
    </row>
    <row r="115" spans="1:54" ht="40.5">
      <c r="A115" s="105" t="s">
        <v>181</v>
      </c>
      <c r="B115" s="105" t="s">
        <v>259</v>
      </c>
      <c r="C115" s="105">
        <v>14111519</v>
      </c>
      <c r="D115" s="105" t="s">
        <v>581</v>
      </c>
      <c r="E115" s="106" t="s">
        <v>582</v>
      </c>
      <c r="F115" s="107" t="s">
        <v>185</v>
      </c>
      <c r="G115" s="108">
        <v>1</v>
      </c>
      <c r="H115" s="107" t="s">
        <v>186</v>
      </c>
      <c r="I115" s="109" t="s">
        <v>200</v>
      </c>
      <c r="J115" s="110">
        <v>46071</v>
      </c>
      <c r="K115" s="111" t="s">
        <v>266</v>
      </c>
      <c r="L115" s="112" t="s">
        <v>194</v>
      </c>
      <c r="M115" s="110" t="s">
        <v>514</v>
      </c>
      <c r="N115" s="113">
        <v>2000</v>
      </c>
      <c r="O115" s="113" t="s">
        <v>191</v>
      </c>
      <c r="P115" s="113" t="s">
        <v>192</v>
      </c>
      <c r="Q115" s="114">
        <f t="shared" si="50"/>
        <v>1680.6722689075632</v>
      </c>
      <c r="R115" s="115">
        <f t="shared" si="51"/>
        <v>319.32773109243703</v>
      </c>
      <c r="S115" s="115">
        <f t="shared" si="52"/>
        <v>2000.0000000000002</v>
      </c>
      <c r="T115" s="115">
        <f t="shared" si="53"/>
        <v>2000</v>
      </c>
      <c r="U115" s="115">
        <f t="shared" si="65"/>
        <v>2000.0000000000002</v>
      </c>
      <c r="V115" s="116" t="s">
        <v>187</v>
      </c>
      <c r="W115" s="117">
        <v>46139</v>
      </c>
      <c r="X115" s="118" t="s">
        <v>490</v>
      </c>
      <c r="Y115" s="119" t="s">
        <v>194</v>
      </c>
      <c r="Z115" s="120" t="s">
        <v>583</v>
      </c>
      <c r="AA115" s="121">
        <v>1681</v>
      </c>
      <c r="AB115" s="121" t="s">
        <v>198</v>
      </c>
      <c r="AC115" s="121" t="s">
        <v>192</v>
      </c>
      <c r="AD115" s="122">
        <f t="shared" si="66"/>
        <v>1681</v>
      </c>
      <c r="AE115" s="123">
        <f t="shared" si="54"/>
        <v>319.39</v>
      </c>
      <c r="AF115" s="123">
        <f t="shared" si="55"/>
        <v>2000.3899999999999</v>
      </c>
      <c r="AG115" s="123">
        <f t="shared" si="56"/>
        <v>1681</v>
      </c>
      <c r="AH115" s="123">
        <f t="shared" si="57"/>
        <v>2000.3899999999999</v>
      </c>
      <c r="AI115" s="124" t="s">
        <v>187</v>
      </c>
      <c r="AJ115" s="125">
        <v>46139</v>
      </c>
      <c r="AK115" s="126" t="s">
        <v>488</v>
      </c>
      <c r="AL115" s="127" t="s">
        <v>194</v>
      </c>
      <c r="AM115" s="128" t="s">
        <v>489</v>
      </c>
      <c r="AN115" s="129">
        <v>1694</v>
      </c>
      <c r="AO115" s="129" t="s">
        <v>198</v>
      </c>
      <c r="AP115" s="130" t="s">
        <v>192</v>
      </c>
      <c r="AQ115" s="131">
        <f t="shared" si="58"/>
        <v>1694</v>
      </c>
      <c r="AR115" s="132">
        <f t="shared" si="59"/>
        <v>321.86</v>
      </c>
      <c r="AS115" s="132">
        <f t="shared" si="60"/>
        <v>2015.8600000000001</v>
      </c>
      <c r="AT115" s="132">
        <f t="shared" si="61"/>
        <v>1694</v>
      </c>
      <c r="AU115" s="132">
        <f t="shared" si="62"/>
        <v>2015.8600000000001</v>
      </c>
      <c r="AV115" s="133">
        <f t="shared" si="27"/>
        <v>2005</v>
      </c>
      <c r="AW115" s="133">
        <f t="shared" si="28"/>
        <v>2005</v>
      </c>
      <c r="AX115" s="133">
        <f t="shared" si="29"/>
        <v>9</v>
      </c>
      <c r="AY115" s="134">
        <f t="shared" si="63"/>
        <v>4.4887780548628431E-3</v>
      </c>
      <c r="AZ115" s="5"/>
      <c r="BA115" s="7">
        <f t="shared" si="64"/>
        <v>3</v>
      </c>
      <c r="BB115" s="7"/>
    </row>
    <row r="116" spans="1:54" ht="40.5">
      <c r="A116" s="105" t="s">
        <v>181</v>
      </c>
      <c r="B116" s="105" t="s">
        <v>259</v>
      </c>
      <c r="C116" s="105">
        <v>14111519</v>
      </c>
      <c r="D116" s="105" t="s">
        <v>584</v>
      </c>
      <c r="E116" s="106" t="s">
        <v>585</v>
      </c>
      <c r="F116" s="107" t="s">
        <v>185</v>
      </c>
      <c r="G116" s="108">
        <v>1</v>
      </c>
      <c r="H116" s="107" t="s">
        <v>186</v>
      </c>
      <c r="I116" s="109" t="s">
        <v>200</v>
      </c>
      <c r="J116" s="110">
        <v>46071</v>
      </c>
      <c r="K116" s="111" t="s">
        <v>488</v>
      </c>
      <c r="L116" s="112" t="s">
        <v>194</v>
      </c>
      <c r="M116" s="110" t="s">
        <v>489</v>
      </c>
      <c r="N116" s="113">
        <v>13043</v>
      </c>
      <c r="O116" s="113" t="s">
        <v>198</v>
      </c>
      <c r="P116" s="113" t="s">
        <v>192</v>
      </c>
      <c r="Q116" s="114">
        <f t="shared" si="50"/>
        <v>13043</v>
      </c>
      <c r="R116" s="115">
        <f t="shared" si="51"/>
        <v>2478.17</v>
      </c>
      <c r="S116" s="115">
        <f t="shared" si="52"/>
        <v>15521.17</v>
      </c>
      <c r="T116" s="115">
        <f t="shared" si="53"/>
        <v>13043</v>
      </c>
      <c r="U116" s="115">
        <f t="shared" si="65"/>
        <v>15521.17</v>
      </c>
      <c r="V116" s="116" t="s">
        <v>200</v>
      </c>
      <c r="W116" s="117">
        <v>46071</v>
      </c>
      <c r="X116" s="118" t="s">
        <v>586</v>
      </c>
      <c r="Y116" s="119" t="s">
        <v>194</v>
      </c>
      <c r="Z116" s="120" t="s">
        <v>587</v>
      </c>
      <c r="AA116" s="121">
        <v>16700</v>
      </c>
      <c r="AB116" s="121" t="s">
        <v>191</v>
      </c>
      <c r="AC116" s="121" t="s">
        <v>192</v>
      </c>
      <c r="AD116" s="122">
        <f t="shared" si="66"/>
        <v>14033.613445378152</v>
      </c>
      <c r="AE116" s="123">
        <f t="shared" si="54"/>
        <v>2666.386554621849</v>
      </c>
      <c r="AF116" s="123">
        <f t="shared" si="55"/>
        <v>16700</v>
      </c>
      <c r="AG116" s="123">
        <f t="shared" si="56"/>
        <v>16700</v>
      </c>
      <c r="AH116" s="123">
        <f t="shared" si="57"/>
        <v>16700</v>
      </c>
      <c r="AI116" s="124" t="s">
        <v>200</v>
      </c>
      <c r="AJ116" s="125">
        <v>46071</v>
      </c>
      <c r="AK116" s="126" t="s">
        <v>588</v>
      </c>
      <c r="AL116" s="127" t="s">
        <v>194</v>
      </c>
      <c r="AM116" s="128" t="s">
        <v>246</v>
      </c>
      <c r="AN116" s="129">
        <v>14390</v>
      </c>
      <c r="AO116" s="129" t="s">
        <v>191</v>
      </c>
      <c r="AP116" s="130" t="s">
        <v>192</v>
      </c>
      <c r="AQ116" s="131">
        <f t="shared" si="58"/>
        <v>12092.436974789916</v>
      </c>
      <c r="AR116" s="132">
        <f t="shared" si="59"/>
        <v>2297.5630252100841</v>
      </c>
      <c r="AS116" s="132">
        <f t="shared" si="60"/>
        <v>14390</v>
      </c>
      <c r="AT116" s="132">
        <f t="shared" si="61"/>
        <v>14390</v>
      </c>
      <c r="AU116" s="132">
        <f t="shared" si="62"/>
        <v>14390</v>
      </c>
      <c r="AV116" s="133">
        <f t="shared" si="27"/>
        <v>15537</v>
      </c>
      <c r="AW116" s="133">
        <f t="shared" si="28"/>
        <v>15537</v>
      </c>
      <c r="AX116" s="133">
        <f t="shared" si="29"/>
        <v>1155</v>
      </c>
      <c r="AY116" s="134">
        <f t="shared" si="63"/>
        <v>7.433867541996525E-2</v>
      </c>
      <c r="AZ116" s="5"/>
      <c r="BA116" s="7">
        <f t="shared" si="64"/>
        <v>3</v>
      </c>
      <c r="BB116" s="7"/>
    </row>
    <row r="117" spans="1:54" ht="54">
      <c r="A117" s="105" t="s">
        <v>181</v>
      </c>
      <c r="B117" s="105" t="s">
        <v>182</v>
      </c>
      <c r="C117" s="105">
        <v>60101606</v>
      </c>
      <c r="D117" s="105" t="s">
        <v>589</v>
      </c>
      <c r="E117" s="106" t="s">
        <v>590</v>
      </c>
      <c r="F117" s="107" t="s">
        <v>185</v>
      </c>
      <c r="G117" s="108">
        <v>1</v>
      </c>
      <c r="H117" s="107" t="s">
        <v>186</v>
      </c>
      <c r="I117" s="109" t="s">
        <v>187</v>
      </c>
      <c r="J117" s="110">
        <v>46146</v>
      </c>
      <c r="K117" s="111" t="s">
        <v>591</v>
      </c>
      <c r="L117" s="112" t="s">
        <v>189</v>
      </c>
      <c r="M117" s="110" t="s">
        <v>592</v>
      </c>
      <c r="N117" s="113">
        <v>2200</v>
      </c>
      <c r="O117" s="113" t="s">
        <v>198</v>
      </c>
      <c r="P117" s="113" t="s">
        <v>192</v>
      </c>
      <c r="Q117" s="114">
        <f t="shared" si="50"/>
        <v>2200</v>
      </c>
      <c r="R117" s="115">
        <f t="shared" si="51"/>
        <v>418</v>
      </c>
      <c r="S117" s="115">
        <f t="shared" si="52"/>
        <v>2618</v>
      </c>
      <c r="T117" s="115">
        <f t="shared" si="53"/>
        <v>2200</v>
      </c>
      <c r="U117" s="115">
        <f t="shared" si="65"/>
        <v>2618</v>
      </c>
      <c r="V117" s="116" t="s">
        <v>187</v>
      </c>
      <c r="W117" s="117">
        <v>46146</v>
      </c>
      <c r="X117" s="118" t="s">
        <v>208</v>
      </c>
      <c r="Y117" s="119" t="s">
        <v>189</v>
      </c>
      <c r="Z117" s="120" t="s">
        <v>205</v>
      </c>
      <c r="AA117" s="121">
        <v>3200</v>
      </c>
      <c r="AB117" s="121" t="s">
        <v>191</v>
      </c>
      <c r="AC117" s="121" t="s">
        <v>192</v>
      </c>
      <c r="AD117" s="122">
        <f t="shared" si="66"/>
        <v>2689.0756302521008</v>
      </c>
      <c r="AE117" s="123">
        <f t="shared" si="54"/>
        <v>510.92436974789916</v>
      </c>
      <c r="AF117" s="123">
        <f t="shared" si="55"/>
        <v>3200</v>
      </c>
      <c r="AG117" s="123">
        <f t="shared" si="56"/>
        <v>3200</v>
      </c>
      <c r="AH117" s="123">
        <f t="shared" si="57"/>
        <v>3200</v>
      </c>
      <c r="AI117" s="124" t="s">
        <v>187</v>
      </c>
      <c r="AJ117" s="125">
        <v>46146</v>
      </c>
      <c r="AK117" s="126" t="s">
        <v>593</v>
      </c>
      <c r="AL117" s="127" t="s">
        <v>194</v>
      </c>
      <c r="AM117" s="128" t="s">
        <v>188</v>
      </c>
      <c r="AN117" s="129">
        <v>3800</v>
      </c>
      <c r="AO117" s="129" t="s">
        <v>198</v>
      </c>
      <c r="AP117" s="130" t="s">
        <v>218</v>
      </c>
      <c r="AQ117" s="131">
        <f t="shared" si="58"/>
        <v>3800</v>
      </c>
      <c r="AR117" s="132">
        <f t="shared" si="59"/>
        <v>0</v>
      </c>
      <c r="AS117" s="132">
        <f t="shared" si="60"/>
        <v>3800</v>
      </c>
      <c r="AT117" s="132">
        <f t="shared" si="61"/>
        <v>3800</v>
      </c>
      <c r="AU117" s="132">
        <f t="shared" si="62"/>
        <v>3800</v>
      </c>
      <c r="AV117" s="133">
        <f t="shared" si="27"/>
        <v>3206</v>
      </c>
      <c r="AW117" s="133">
        <f t="shared" si="28"/>
        <v>3206</v>
      </c>
      <c r="AX117" s="133">
        <f t="shared" si="29"/>
        <v>591</v>
      </c>
      <c r="AY117" s="134">
        <f t="shared" si="63"/>
        <v>0.1843418590143481</v>
      </c>
      <c r="AZ117" s="5"/>
      <c r="BA117" s="7">
        <f t="shared" si="64"/>
        <v>3</v>
      </c>
      <c r="BB117" s="7" t="s">
        <v>230</v>
      </c>
    </row>
    <row r="118" spans="1:54" ht="40.5">
      <c r="A118" s="105" t="s">
        <v>181</v>
      </c>
      <c r="B118" s="105" t="s">
        <v>259</v>
      </c>
      <c r="C118" s="105"/>
      <c r="D118" s="105" t="s">
        <v>594</v>
      </c>
      <c r="E118" s="106" t="s">
        <v>595</v>
      </c>
      <c r="F118" s="107" t="s">
        <v>185</v>
      </c>
      <c r="G118" s="108">
        <v>1</v>
      </c>
      <c r="H118" s="107" t="s">
        <v>186</v>
      </c>
      <c r="I118" s="109" t="s">
        <v>200</v>
      </c>
      <c r="J118" s="110">
        <v>46071</v>
      </c>
      <c r="K118" s="111" t="s">
        <v>488</v>
      </c>
      <c r="L118" s="112" t="s">
        <v>194</v>
      </c>
      <c r="M118" s="110" t="s">
        <v>489</v>
      </c>
      <c r="N118" s="113">
        <v>4547</v>
      </c>
      <c r="O118" s="113" t="s">
        <v>198</v>
      </c>
      <c r="P118" s="113" t="s">
        <v>192</v>
      </c>
      <c r="Q118" s="114">
        <f t="shared" si="50"/>
        <v>4547</v>
      </c>
      <c r="R118" s="115">
        <f t="shared" si="51"/>
        <v>863.93000000000006</v>
      </c>
      <c r="S118" s="115">
        <f t="shared" si="52"/>
        <v>5410.93</v>
      </c>
      <c r="T118" s="115">
        <f t="shared" si="53"/>
        <v>4547</v>
      </c>
      <c r="U118" s="115">
        <f t="shared" si="65"/>
        <v>5410.93</v>
      </c>
      <c r="V118" s="116" t="s">
        <v>200</v>
      </c>
      <c r="W118" s="117">
        <v>46071</v>
      </c>
      <c r="X118" s="118" t="s">
        <v>266</v>
      </c>
      <c r="Y118" s="119" t="s">
        <v>194</v>
      </c>
      <c r="Z118" s="120" t="s">
        <v>506</v>
      </c>
      <c r="AA118" s="121">
        <v>6500</v>
      </c>
      <c r="AB118" s="121" t="s">
        <v>191</v>
      </c>
      <c r="AC118" s="121" t="s">
        <v>192</v>
      </c>
      <c r="AD118" s="122">
        <f t="shared" si="66"/>
        <v>5462.1848739495799</v>
      </c>
      <c r="AE118" s="123">
        <f t="shared" si="54"/>
        <v>1037.8151260504203</v>
      </c>
      <c r="AF118" s="123">
        <f t="shared" si="55"/>
        <v>6500</v>
      </c>
      <c r="AG118" s="123">
        <f t="shared" si="56"/>
        <v>6500</v>
      </c>
      <c r="AH118" s="123">
        <f t="shared" si="57"/>
        <v>6500</v>
      </c>
      <c r="AI118" s="124" t="s">
        <v>200</v>
      </c>
      <c r="AJ118" s="125">
        <v>46071</v>
      </c>
      <c r="AK118" s="126" t="s">
        <v>264</v>
      </c>
      <c r="AL118" s="127" t="s">
        <v>194</v>
      </c>
      <c r="AM118" s="128" t="s">
        <v>265</v>
      </c>
      <c r="AN118" s="129">
        <v>5850</v>
      </c>
      <c r="AO118" s="129" t="s">
        <v>198</v>
      </c>
      <c r="AP118" s="130" t="s">
        <v>192</v>
      </c>
      <c r="AQ118" s="131">
        <f t="shared" si="58"/>
        <v>5850</v>
      </c>
      <c r="AR118" s="132">
        <f t="shared" si="59"/>
        <v>1111.5</v>
      </c>
      <c r="AS118" s="132">
        <f t="shared" si="60"/>
        <v>6961.5</v>
      </c>
      <c r="AT118" s="132">
        <f t="shared" si="61"/>
        <v>5850</v>
      </c>
      <c r="AU118" s="132">
        <f t="shared" si="62"/>
        <v>6961.5</v>
      </c>
      <c r="AV118" s="133">
        <f t="shared" si="27"/>
        <v>6291</v>
      </c>
      <c r="AW118" s="133">
        <f t="shared" si="28"/>
        <v>6291</v>
      </c>
      <c r="AX118" s="133">
        <f t="shared" si="29"/>
        <v>796</v>
      </c>
      <c r="AY118" s="134">
        <f t="shared" si="63"/>
        <v>0.12652996343983469</v>
      </c>
      <c r="AZ118" s="5"/>
      <c r="BA118" s="7">
        <f t="shared" si="64"/>
        <v>3</v>
      </c>
      <c r="BB118" s="7"/>
    </row>
    <row r="119" spans="1:54" ht="54">
      <c r="A119" s="105" t="s">
        <v>181</v>
      </c>
      <c r="B119" s="105" t="s">
        <v>259</v>
      </c>
      <c r="C119" s="105">
        <v>31201512</v>
      </c>
      <c r="D119" s="105" t="s">
        <v>596</v>
      </c>
      <c r="E119" s="106" t="s">
        <v>597</v>
      </c>
      <c r="F119" s="107" t="s">
        <v>185</v>
      </c>
      <c r="G119" s="108">
        <v>1</v>
      </c>
      <c r="H119" s="107" t="s">
        <v>186</v>
      </c>
      <c r="I119" s="109" t="s">
        <v>200</v>
      </c>
      <c r="J119" s="110">
        <v>46071</v>
      </c>
      <c r="K119" s="111" t="s">
        <v>447</v>
      </c>
      <c r="L119" s="112" t="s">
        <v>194</v>
      </c>
      <c r="M119" s="110" t="s">
        <v>482</v>
      </c>
      <c r="N119" s="113">
        <v>6000</v>
      </c>
      <c r="O119" s="113" t="s">
        <v>191</v>
      </c>
      <c r="P119" s="113" t="s">
        <v>192</v>
      </c>
      <c r="Q119" s="114">
        <f t="shared" si="50"/>
        <v>5042.0168067226896</v>
      </c>
      <c r="R119" s="115">
        <f t="shared" si="51"/>
        <v>957.98319327731099</v>
      </c>
      <c r="S119" s="115">
        <f t="shared" si="52"/>
        <v>6000.0000000000009</v>
      </c>
      <c r="T119" s="115">
        <f t="shared" si="53"/>
        <v>6000</v>
      </c>
      <c r="U119" s="115">
        <f t="shared" si="65"/>
        <v>6000.0000000000009</v>
      </c>
      <c r="V119" s="116" t="s">
        <v>200</v>
      </c>
      <c r="W119" s="117">
        <v>46071</v>
      </c>
      <c r="X119" s="118" t="s">
        <v>266</v>
      </c>
      <c r="Y119" s="119" t="s">
        <v>194</v>
      </c>
      <c r="Z119" s="120" t="s">
        <v>506</v>
      </c>
      <c r="AA119" s="121">
        <v>7100</v>
      </c>
      <c r="AB119" s="121" t="s">
        <v>191</v>
      </c>
      <c r="AC119" s="121" t="s">
        <v>192</v>
      </c>
      <c r="AD119" s="122">
        <f t="shared" si="66"/>
        <v>5966.3865546218494</v>
      </c>
      <c r="AE119" s="123">
        <f t="shared" si="54"/>
        <v>1133.6134453781515</v>
      </c>
      <c r="AF119" s="123">
        <f t="shared" si="55"/>
        <v>7100.0000000000009</v>
      </c>
      <c r="AG119" s="123">
        <f t="shared" si="56"/>
        <v>7100</v>
      </c>
      <c r="AH119" s="123">
        <f t="shared" si="57"/>
        <v>7100.0000000000009</v>
      </c>
      <c r="AI119" s="124" t="s">
        <v>200</v>
      </c>
      <c r="AJ119" s="125">
        <v>46071</v>
      </c>
      <c r="AK119" s="126" t="s">
        <v>507</v>
      </c>
      <c r="AL119" s="127" t="s">
        <v>194</v>
      </c>
      <c r="AM119" s="128" t="s">
        <v>519</v>
      </c>
      <c r="AN119" s="129">
        <v>6500</v>
      </c>
      <c r="AO119" s="129" t="s">
        <v>191</v>
      </c>
      <c r="AP119" s="130" t="s">
        <v>192</v>
      </c>
      <c r="AQ119" s="131">
        <f t="shared" si="58"/>
        <v>5462.1848739495799</v>
      </c>
      <c r="AR119" s="132">
        <f t="shared" si="59"/>
        <v>1037.8151260504203</v>
      </c>
      <c r="AS119" s="132">
        <f t="shared" si="60"/>
        <v>6500</v>
      </c>
      <c r="AT119" s="132">
        <f t="shared" si="61"/>
        <v>6500</v>
      </c>
      <c r="AU119" s="132">
        <f t="shared" si="62"/>
        <v>6500</v>
      </c>
      <c r="AV119" s="133">
        <f t="shared" si="27"/>
        <v>6533</v>
      </c>
      <c r="AW119" s="133">
        <f t="shared" si="28"/>
        <v>6533</v>
      </c>
      <c r="AX119" s="133">
        <f t="shared" si="29"/>
        <v>551</v>
      </c>
      <c r="AY119" s="134">
        <f t="shared" si="63"/>
        <v>8.4341037808051425E-2</v>
      </c>
      <c r="AZ119" s="5"/>
      <c r="BA119" s="7">
        <f t="shared" si="64"/>
        <v>3</v>
      </c>
      <c r="BB119" s="7"/>
    </row>
    <row r="120" spans="1:54" ht="297">
      <c r="A120" s="105" t="s">
        <v>252</v>
      </c>
      <c r="B120" s="105" t="s">
        <v>252</v>
      </c>
      <c r="C120" s="105" t="s">
        <v>252</v>
      </c>
      <c r="D120" s="105" t="s">
        <v>598</v>
      </c>
      <c r="E120" s="106" t="s">
        <v>599</v>
      </c>
      <c r="F120" s="107" t="s">
        <v>255</v>
      </c>
      <c r="G120" s="108">
        <v>1</v>
      </c>
      <c r="H120" s="107"/>
      <c r="I120" s="109"/>
      <c r="J120" s="110"/>
      <c r="K120" s="111"/>
      <c r="L120" s="112"/>
      <c r="M120" s="110"/>
      <c r="N120" s="113"/>
      <c r="O120" s="113"/>
      <c r="P120" s="113"/>
      <c r="Q120" s="114" t="s">
        <v>256</v>
      </c>
      <c r="R120" s="115" t="s">
        <v>256</v>
      </c>
      <c r="S120" s="115" t="s">
        <v>256</v>
      </c>
      <c r="T120" s="115" t="s">
        <v>256</v>
      </c>
      <c r="U120" s="115" t="s">
        <v>256</v>
      </c>
      <c r="V120" s="116" t="s">
        <v>252</v>
      </c>
      <c r="W120" s="117" t="s">
        <v>252</v>
      </c>
      <c r="X120" s="118" t="s">
        <v>252</v>
      </c>
      <c r="Y120" s="119" t="s">
        <v>252</v>
      </c>
      <c r="Z120" s="120" t="s">
        <v>257</v>
      </c>
      <c r="AA120" s="121" t="s">
        <v>252</v>
      </c>
      <c r="AB120" s="121" t="s">
        <v>252</v>
      </c>
      <c r="AC120" s="121" t="s">
        <v>252</v>
      </c>
      <c r="AD120" s="122" t="s">
        <v>252</v>
      </c>
      <c r="AE120" s="123" t="s">
        <v>252</v>
      </c>
      <c r="AF120" s="123">
        <f>AH120/1.19</f>
        <v>3574947.8991596638</v>
      </c>
      <c r="AG120" s="123">
        <f>AF120*19%</f>
        <v>679240.10084033618</v>
      </c>
      <c r="AH120" s="123">
        <v>4254188</v>
      </c>
      <c r="AI120" s="124" t="s">
        <v>252</v>
      </c>
      <c r="AJ120" s="125" t="s">
        <v>252</v>
      </c>
      <c r="AK120" s="126" t="s">
        <v>252</v>
      </c>
      <c r="AL120" s="127" t="s">
        <v>252</v>
      </c>
      <c r="AM120" s="128" t="s">
        <v>258</v>
      </c>
      <c r="AN120" s="129" t="s">
        <v>252</v>
      </c>
      <c r="AO120" s="129" t="s">
        <v>252</v>
      </c>
      <c r="AP120" s="130" t="s">
        <v>252</v>
      </c>
      <c r="AQ120" s="131">
        <v>3454383</v>
      </c>
      <c r="AR120" s="132">
        <v>656333</v>
      </c>
      <c r="AS120" s="132">
        <v>4110716</v>
      </c>
      <c r="AT120" s="132">
        <v>3454383</v>
      </c>
      <c r="AU120" s="132">
        <v>4110716</v>
      </c>
      <c r="AV120" s="133">
        <f t="shared" si="27"/>
        <v>3842832</v>
      </c>
      <c r="AW120" s="133">
        <f t="shared" si="28"/>
        <v>3842832</v>
      </c>
      <c r="AX120" s="133" t="str">
        <f t="shared" si="29"/>
        <v/>
      </c>
      <c r="AY120" s="134">
        <v>2.4299999999999999E-2</v>
      </c>
      <c r="AZ120" s="5"/>
      <c r="BA120" s="7"/>
      <c r="BB120" s="7"/>
    </row>
    <row r="121" spans="1:54" ht="297">
      <c r="A121" s="105" t="s">
        <v>252</v>
      </c>
      <c r="B121" s="105" t="s">
        <v>252</v>
      </c>
      <c r="C121" s="105" t="s">
        <v>252</v>
      </c>
      <c r="D121" s="105" t="s">
        <v>600</v>
      </c>
      <c r="E121" s="106" t="s">
        <v>601</v>
      </c>
      <c r="F121" s="107" t="s">
        <v>255</v>
      </c>
      <c r="G121" s="108">
        <v>1</v>
      </c>
      <c r="H121" s="107"/>
      <c r="I121" s="109"/>
      <c r="J121" s="110"/>
      <c r="K121" s="111"/>
      <c r="L121" s="112"/>
      <c r="M121" s="110"/>
      <c r="N121" s="113"/>
      <c r="O121" s="113"/>
      <c r="P121" s="113"/>
      <c r="Q121" s="114" t="s">
        <v>256</v>
      </c>
      <c r="R121" s="115" t="s">
        <v>256</v>
      </c>
      <c r="S121" s="115" t="s">
        <v>256</v>
      </c>
      <c r="T121" s="115" t="s">
        <v>256</v>
      </c>
      <c r="U121" s="115" t="s">
        <v>256</v>
      </c>
      <c r="V121" s="116" t="s">
        <v>252</v>
      </c>
      <c r="W121" s="117" t="s">
        <v>252</v>
      </c>
      <c r="X121" s="118" t="s">
        <v>252</v>
      </c>
      <c r="Y121" s="119" t="s">
        <v>252</v>
      </c>
      <c r="Z121" s="120" t="s">
        <v>257</v>
      </c>
      <c r="AA121" s="121" t="s">
        <v>252</v>
      </c>
      <c r="AB121" s="121" t="s">
        <v>252</v>
      </c>
      <c r="AC121" s="121" t="s">
        <v>252</v>
      </c>
      <c r="AD121" s="122" t="s">
        <v>252</v>
      </c>
      <c r="AE121" s="123" t="s">
        <v>252</v>
      </c>
      <c r="AF121" s="123">
        <f>AH121/1.19</f>
        <v>4162678.9915966387</v>
      </c>
      <c r="AG121" s="123">
        <f>AF121*19%</f>
        <v>790909.00840336131</v>
      </c>
      <c r="AH121" s="123">
        <v>4953588</v>
      </c>
      <c r="AI121" s="124" t="s">
        <v>252</v>
      </c>
      <c r="AJ121" s="125" t="s">
        <v>252</v>
      </c>
      <c r="AK121" s="126" t="s">
        <v>252</v>
      </c>
      <c r="AL121" s="127" t="s">
        <v>252</v>
      </c>
      <c r="AM121" s="128" t="s">
        <v>258</v>
      </c>
      <c r="AN121" s="129" t="s">
        <v>252</v>
      </c>
      <c r="AO121" s="129" t="s">
        <v>252</v>
      </c>
      <c r="AP121" s="130" t="s">
        <v>252</v>
      </c>
      <c r="AQ121" s="131">
        <v>4022293</v>
      </c>
      <c r="AR121" s="132">
        <v>764236</v>
      </c>
      <c r="AS121" s="132">
        <v>4786529</v>
      </c>
      <c r="AT121" s="132">
        <v>4022293</v>
      </c>
      <c r="AU121" s="132">
        <v>4786529</v>
      </c>
      <c r="AV121" s="133">
        <f t="shared" si="27"/>
        <v>4474604</v>
      </c>
      <c r="AW121" s="133">
        <f t="shared" si="28"/>
        <v>4474604</v>
      </c>
      <c r="AX121" s="133" t="str">
        <f t="shared" si="29"/>
        <v/>
      </c>
      <c r="AY121" s="134">
        <v>2.4299999999999999E-2</v>
      </c>
      <c r="AZ121" s="5"/>
      <c r="BA121" s="7"/>
      <c r="BB121" s="7"/>
    </row>
    <row r="122" spans="1:54" ht="67.5">
      <c r="A122" s="105" t="s">
        <v>181</v>
      </c>
      <c r="B122" s="105" t="s">
        <v>259</v>
      </c>
      <c r="C122" s="105">
        <v>44121707</v>
      </c>
      <c r="D122" s="105" t="s">
        <v>602</v>
      </c>
      <c r="E122" s="106" t="s">
        <v>603</v>
      </c>
      <c r="F122" s="107" t="s">
        <v>185</v>
      </c>
      <c r="G122" s="108">
        <v>1</v>
      </c>
      <c r="H122" s="107" t="s">
        <v>186</v>
      </c>
      <c r="I122" s="109" t="s">
        <v>200</v>
      </c>
      <c r="J122" s="110">
        <v>46071</v>
      </c>
      <c r="K122" s="111" t="s">
        <v>604</v>
      </c>
      <c r="L122" s="112" t="s">
        <v>194</v>
      </c>
      <c r="M122" s="110" t="s">
        <v>482</v>
      </c>
      <c r="N122" s="113">
        <v>7500</v>
      </c>
      <c r="O122" s="113" t="s">
        <v>191</v>
      </c>
      <c r="P122" s="113" t="s">
        <v>192</v>
      </c>
      <c r="Q122" s="114">
        <f t="shared" ref="Q122:Q128" si="67">IF(O122="IVA Incluido",(N122/1.19),N122)</f>
        <v>6302.5210084033615</v>
      </c>
      <c r="R122" s="115">
        <f t="shared" ref="R122:R128" si="68">IF(P122="Si tiene IVA",Q122*19%,0)</f>
        <v>1197.4789915966387</v>
      </c>
      <c r="S122" s="115">
        <f t="shared" ref="S122:S128" si="69">Q122+R122</f>
        <v>7500</v>
      </c>
      <c r="T122" s="115">
        <f t="shared" ref="T122:T128" si="70">IF(B122="","",(N122*G122))</f>
        <v>7500</v>
      </c>
      <c r="U122" s="115">
        <f t="shared" ref="U122:U128" si="71">IF(B122="","",(S122*G122))</f>
        <v>7500</v>
      </c>
      <c r="V122" s="116" t="s">
        <v>200</v>
      </c>
      <c r="W122" s="117">
        <v>46071</v>
      </c>
      <c r="X122" s="118" t="s">
        <v>266</v>
      </c>
      <c r="Y122" s="119" t="s">
        <v>194</v>
      </c>
      <c r="Z122" s="120" t="s">
        <v>506</v>
      </c>
      <c r="AA122" s="121">
        <v>8500</v>
      </c>
      <c r="AB122" s="121" t="s">
        <v>191</v>
      </c>
      <c r="AC122" s="121" t="s">
        <v>192</v>
      </c>
      <c r="AD122" s="122">
        <f t="shared" ref="AD122:AD128" si="72">IF(AB122="IVA Incluido",(AA122/1.19),AA122)</f>
        <v>7142.8571428571431</v>
      </c>
      <c r="AE122" s="123">
        <f t="shared" ref="AE122:AE128" si="73">IF(AC122="Si tiene IVA",AD122*19%,0)</f>
        <v>1357.1428571428571</v>
      </c>
      <c r="AF122" s="123">
        <f t="shared" ref="AF122:AF128" si="74">AD122+AE122</f>
        <v>8500</v>
      </c>
      <c r="AG122" s="123">
        <f t="shared" ref="AG122:AG128" si="75">IF(O122="","",(AA122*G122))</f>
        <v>8500</v>
      </c>
      <c r="AH122" s="123">
        <f t="shared" ref="AH122:AH128" si="76">IF(O122="","",(AF122*G122))</f>
        <v>8500</v>
      </c>
      <c r="AI122" s="124" t="s">
        <v>200</v>
      </c>
      <c r="AJ122" s="125">
        <v>46071</v>
      </c>
      <c r="AK122" s="126" t="s">
        <v>490</v>
      </c>
      <c r="AL122" s="127" t="s">
        <v>194</v>
      </c>
      <c r="AM122" s="128" t="s">
        <v>605</v>
      </c>
      <c r="AN122" s="129">
        <v>7400</v>
      </c>
      <c r="AO122" s="129" t="s">
        <v>198</v>
      </c>
      <c r="AP122" s="130" t="s">
        <v>192</v>
      </c>
      <c r="AQ122" s="131">
        <f t="shared" ref="AQ122:AQ128" si="77">IF(AO122="IVA Incluido",(AN122/1.19),AN122)</f>
        <v>7400</v>
      </c>
      <c r="AR122" s="132">
        <f t="shared" ref="AR122:AR128" si="78">IF(AP122="Si tiene IVA",AQ122*19%,0)</f>
        <v>1406</v>
      </c>
      <c r="AS122" s="132">
        <f t="shared" ref="AS122:AS128" si="79">AQ122+AR122</f>
        <v>8806</v>
      </c>
      <c r="AT122" s="132">
        <f t="shared" ref="AT122:AT128" si="80">IF(AB122="","",(AN122*G122))</f>
        <v>7400</v>
      </c>
      <c r="AU122" s="132">
        <f t="shared" ref="AU122:AU128" si="81">IF(AB122="","",(AS122*G122))</f>
        <v>8806</v>
      </c>
      <c r="AV122" s="133">
        <f t="shared" si="27"/>
        <v>8269</v>
      </c>
      <c r="AW122" s="133">
        <f t="shared" si="28"/>
        <v>8269</v>
      </c>
      <c r="AX122" s="133">
        <f t="shared" si="29"/>
        <v>683</v>
      </c>
      <c r="AY122" s="134">
        <f t="shared" ref="AY122:AY128" si="82">IF(N122="","",(AX122/AW122))</f>
        <v>8.2597653888015474E-2</v>
      </c>
      <c r="AZ122" s="5"/>
      <c r="BA122" s="7">
        <f>COUNTA(M122,Z122,AM122)</f>
        <v>3</v>
      </c>
      <c r="BB122" s="7"/>
    </row>
    <row r="123" spans="1:54" ht="81">
      <c r="A123" s="105" t="s">
        <v>181</v>
      </c>
      <c r="B123" s="105" t="s">
        <v>259</v>
      </c>
      <c r="C123" s="105">
        <v>44121707</v>
      </c>
      <c r="D123" s="105" t="s">
        <v>606</v>
      </c>
      <c r="E123" s="106" t="s">
        <v>607</v>
      </c>
      <c r="F123" s="107" t="s">
        <v>185</v>
      </c>
      <c r="G123" s="108">
        <v>1</v>
      </c>
      <c r="H123" s="107" t="s">
        <v>186</v>
      </c>
      <c r="I123" s="109" t="s">
        <v>200</v>
      </c>
      <c r="J123" s="110">
        <v>46071</v>
      </c>
      <c r="K123" s="111" t="s">
        <v>490</v>
      </c>
      <c r="L123" s="112" t="s">
        <v>194</v>
      </c>
      <c r="M123" s="110" t="s">
        <v>605</v>
      </c>
      <c r="N123" s="113">
        <v>7000</v>
      </c>
      <c r="O123" s="113" t="s">
        <v>198</v>
      </c>
      <c r="P123" s="113" t="s">
        <v>192</v>
      </c>
      <c r="Q123" s="114">
        <f t="shared" si="67"/>
        <v>7000</v>
      </c>
      <c r="R123" s="115">
        <f t="shared" si="68"/>
        <v>1330</v>
      </c>
      <c r="S123" s="115">
        <f t="shared" si="69"/>
        <v>8330</v>
      </c>
      <c r="T123" s="115">
        <f t="shared" si="70"/>
        <v>7000</v>
      </c>
      <c r="U123" s="115">
        <f t="shared" si="71"/>
        <v>8330</v>
      </c>
      <c r="V123" s="116" t="s">
        <v>200</v>
      </c>
      <c r="W123" s="117">
        <v>46071</v>
      </c>
      <c r="X123" s="118" t="s">
        <v>608</v>
      </c>
      <c r="Y123" s="119" t="s">
        <v>189</v>
      </c>
      <c r="Z123" s="120" t="s">
        <v>609</v>
      </c>
      <c r="AA123" s="121">
        <v>7183</v>
      </c>
      <c r="AB123" s="121" t="s">
        <v>198</v>
      </c>
      <c r="AC123" s="121" t="s">
        <v>218</v>
      </c>
      <c r="AD123" s="122">
        <f t="shared" si="72"/>
        <v>7183</v>
      </c>
      <c r="AE123" s="123">
        <f t="shared" si="73"/>
        <v>0</v>
      </c>
      <c r="AF123" s="123">
        <f t="shared" si="74"/>
        <v>7183</v>
      </c>
      <c r="AG123" s="123">
        <f t="shared" si="75"/>
        <v>7183</v>
      </c>
      <c r="AH123" s="123">
        <f t="shared" si="76"/>
        <v>7183</v>
      </c>
      <c r="AI123" s="124" t="s">
        <v>200</v>
      </c>
      <c r="AJ123" s="125">
        <v>46071</v>
      </c>
      <c r="AK123" s="126" t="s">
        <v>610</v>
      </c>
      <c r="AL123" s="127" t="s">
        <v>194</v>
      </c>
      <c r="AM123" s="128" t="s">
        <v>565</v>
      </c>
      <c r="AN123" s="129">
        <v>8600</v>
      </c>
      <c r="AO123" s="129" t="s">
        <v>191</v>
      </c>
      <c r="AP123" s="130" t="s">
        <v>192</v>
      </c>
      <c r="AQ123" s="131">
        <f t="shared" si="77"/>
        <v>7226.8907563025214</v>
      </c>
      <c r="AR123" s="132">
        <f t="shared" si="78"/>
        <v>1373.1092436974791</v>
      </c>
      <c r="AS123" s="132">
        <f t="shared" si="79"/>
        <v>8600</v>
      </c>
      <c r="AT123" s="132">
        <f t="shared" si="80"/>
        <v>8600</v>
      </c>
      <c r="AU123" s="132">
        <f t="shared" si="81"/>
        <v>8600</v>
      </c>
      <c r="AV123" s="133">
        <f t="shared" si="27"/>
        <v>8038</v>
      </c>
      <c r="AW123" s="133">
        <f t="shared" si="28"/>
        <v>8038</v>
      </c>
      <c r="AX123" s="133">
        <f t="shared" si="29"/>
        <v>752</v>
      </c>
      <c r="AY123" s="134">
        <f t="shared" si="82"/>
        <v>9.3555610848469764E-2</v>
      </c>
      <c r="AZ123" s="5"/>
      <c r="BA123" s="7">
        <f>COUNTA(M123,Z123,AM123)</f>
        <v>3</v>
      </c>
      <c r="BB123" s="7" t="s">
        <v>220</v>
      </c>
    </row>
    <row r="124" spans="1:54" ht="81">
      <c r="A124" s="105" t="s">
        <v>181</v>
      </c>
      <c r="B124" s="105" t="s">
        <v>241</v>
      </c>
      <c r="C124" s="105" t="s">
        <v>611</v>
      </c>
      <c r="D124" s="105" t="s">
        <v>612</v>
      </c>
      <c r="E124" s="106" t="s">
        <v>613</v>
      </c>
      <c r="F124" s="107" t="s">
        <v>185</v>
      </c>
      <c r="G124" s="108">
        <v>1</v>
      </c>
      <c r="H124" s="107" t="s">
        <v>186</v>
      </c>
      <c r="I124" s="109" t="s">
        <v>234</v>
      </c>
      <c r="J124" s="110">
        <v>46139</v>
      </c>
      <c r="K124" s="111" t="s">
        <v>277</v>
      </c>
      <c r="L124" s="112" t="s">
        <v>189</v>
      </c>
      <c r="M124" s="110" t="s">
        <v>278</v>
      </c>
      <c r="N124" s="113">
        <v>1957500</v>
      </c>
      <c r="O124" s="113" t="s">
        <v>198</v>
      </c>
      <c r="P124" s="113" t="s">
        <v>192</v>
      </c>
      <c r="Q124" s="114">
        <f t="shared" si="67"/>
        <v>1957500</v>
      </c>
      <c r="R124" s="115">
        <f t="shared" si="68"/>
        <v>371925</v>
      </c>
      <c r="S124" s="115">
        <f t="shared" si="69"/>
        <v>2329425</v>
      </c>
      <c r="T124" s="115">
        <f t="shared" si="70"/>
        <v>1957500</v>
      </c>
      <c r="U124" s="115">
        <f t="shared" si="71"/>
        <v>2329425</v>
      </c>
      <c r="V124" s="116" t="s">
        <v>469</v>
      </c>
      <c r="W124" s="117">
        <v>46139</v>
      </c>
      <c r="X124" s="118" t="s">
        <v>614</v>
      </c>
      <c r="Y124" s="119" t="s">
        <v>194</v>
      </c>
      <c r="Z124" s="120" t="s">
        <v>615</v>
      </c>
      <c r="AA124" s="121">
        <v>1850000</v>
      </c>
      <c r="AB124" s="121" t="s">
        <v>198</v>
      </c>
      <c r="AC124" s="121" t="s">
        <v>192</v>
      </c>
      <c r="AD124" s="122">
        <f t="shared" si="72"/>
        <v>1850000</v>
      </c>
      <c r="AE124" s="123">
        <f t="shared" si="73"/>
        <v>351500</v>
      </c>
      <c r="AF124" s="123">
        <f t="shared" si="74"/>
        <v>2201500</v>
      </c>
      <c r="AG124" s="123">
        <f t="shared" si="75"/>
        <v>1850000</v>
      </c>
      <c r="AH124" s="123">
        <f t="shared" si="76"/>
        <v>2201500</v>
      </c>
      <c r="AI124" s="124" t="s">
        <v>187</v>
      </c>
      <c r="AJ124" s="125">
        <v>46144</v>
      </c>
      <c r="AK124" s="126" t="s">
        <v>616</v>
      </c>
      <c r="AL124" s="127" t="s">
        <v>187</v>
      </c>
      <c r="AM124" s="128" t="s">
        <v>617</v>
      </c>
      <c r="AN124" s="129">
        <v>1100000</v>
      </c>
      <c r="AO124" s="129" t="s">
        <v>198</v>
      </c>
      <c r="AP124" s="130" t="s">
        <v>192</v>
      </c>
      <c r="AQ124" s="131">
        <f t="shared" si="77"/>
        <v>1100000</v>
      </c>
      <c r="AR124" s="132">
        <f t="shared" si="78"/>
        <v>209000</v>
      </c>
      <c r="AS124" s="132">
        <f t="shared" si="79"/>
        <v>1309000</v>
      </c>
      <c r="AT124" s="132">
        <f t="shared" si="80"/>
        <v>1100000</v>
      </c>
      <c r="AU124" s="132">
        <f t="shared" si="81"/>
        <v>1309000</v>
      </c>
      <c r="AV124" s="133">
        <f t="shared" si="27"/>
        <v>1946642</v>
      </c>
      <c r="AW124" s="133">
        <f t="shared" si="28"/>
        <v>1946642</v>
      </c>
      <c r="AX124" s="133">
        <f t="shared" si="29"/>
        <v>555906</v>
      </c>
      <c r="AY124" s="134">
        <f t="shared" si="82"/>
        <v>0.28557176923132244</v>
      </c>
      <c r="AZ124" s="5"/>
      <c r="BA124" s="7">
        <f>COUNTA(M124,Z124,AM124)</f>
        <v>3</v>
      </c>
      <c r="BB124" s="7"/>
    </row>
    <row r="125" spans="1:54" ht="67.5">
      <c r="A125" s="105" t="s">
        <v>181</v>
      </c>
      <c r="B125" s="105" t="s">
        <v>241</v>
      </c>
      <c r="C125" s="105">
        <v>49121503</v>
      </c>
      <c r="D125" s="105" t="s">
        <v>618</v>
      </c>
      <c r="E125" s="106" t="s">
        <v>619</v>
      </c>
      <c r="F125" s="107" t="s">
        <v>185</v>
      </c>
      <c r="G125" s="108">
        <v>1</v>
      </c>
      <c r="H125" s="107" t="s">
        <v>186</v>
      </c>
      <c r="I125" s="109" t="s">
        <v>187</v>
      </c>
      <c r="J125" s="110">
        <v>46153</v>
      </c>
      <c r="K125" s="111" t="s">
        <v>620</v>
      </c>
      <c r="L125" s="112" t="s">
        <v>194</v>
      </c>
      <c r="M125" s="110" t="s">
        <v>621</v>
      </c>
      <c r="N125" s="113">
        <v>1590000</v>
      </c>
      <c r="O125" s="113" t="s">
        <v>191</v>
      </c>
      <c r="P125" s="113" t="s">
        <v>192</v>
      </c>
      <c r="Q125" s="114">
        <f t="shared" si="67"/>
        <v>1336134.4537815126</v>
      </c>
      <c r="R125" s="115">
        <f t="shared" si="68"/>
        <v>253865.5462184874</v>
      </c>
      <c r="S125" s="115">
        <f t="shared" si="69"/>
        <v>1590000</v>
      </c>
      <c r="T125" s="115">
        <f t="shared" si="70"/>
        <v>1590000</v>
      </c>
      <c r="U125" s="115">
        <f t="shared" si="71"/>
        <v>1590000</v>
      </c>
      <c r="V125" s="116" t="s">
        <v>187</v>
      </c>
      <c r="W125" s="117">
        <v>46153</v>
      </c>
      <c r="X125" s="118" t="s">
        <v>622</v>
      </c>
      <c r="Y125" s="119" t="s">
        <v>194</v>
      </c>
      <c r="Z125" s="120" t="s">
        <v>622</v>
      </c>
      <c r="AA125" s="121">
        <v>1400000</v>
      </c>
      <c r="AB125" s="121" t="s">
        <v>198</v>
      </c>
      <c r="AC125" s="121" t="s">
        <v>192</v>
      </c>
      <c r="AD125" s="122">
        <f t="shared" si="72"/>
        <v>1400000</v>
      </c>
      <c r="AE125" s="123">
        <f t="shared" si="73"/>
        <v>266000</v>
      </c>
      <c r="AF125" s="123">
        <f t="shared" si="74"/>
        <v>1666000</v>
      </c>
      <c r="AG125" s="123">
        <f t="shared" si="75"/>
        <v>1400000</v>
      </c>
      <c r="AH125" s="123">
        <f t="shared" si="76"/>
        <v>1666000</v>
      </c>
      <c r="AI125" s="124" t="s">
        <v>187</v>
      </c>
      <c r="AJ125" s="125">
        <v>46153</v>
      </c>
      <c r="AK125" s="126" t="s">
        <v>623</v>
      </c>
      <c r="AL125" s="127" t="s">
        <v>194</v>
      </c>
      <c r="AM125" s="128" t="s">
        <v>624</v>
      </c>
      <c r="AN125" s="129">
        <v>1590000</v>
      </c>
      <c r="AO125" s="129" t="s">
        <v>191</v>
      </c>
      <c r="AP125" s="130" t="s">
        <v>192</v>
      </c>
      <c r="AQ125" s="131">
        <f t="shared" si="77"/>
        <v>1336134.4537815126</v>
      </c>
      <c r="AR125" s="132">
        <f t="shared" si="78"/>
        <v>253865.5462184874</v>
      </c>
      <c r="AS125" s="132">
        <f t="shared" si="79"/>
        <v>1590000</v>
      </c>
      <c r="AT125" s="132">
        <f t="shared" si="80"/>
        <v>1590000</v>
      </c>
      <c r="AU125" s="132">
        <f t="shared" si="81"/>
        <v>1590000</v>
      </c>
      <c r="AV125" s="133">
        <f t="shared" si="27"/>
        <v>1615333</v>
      </c>
      <c r="AW125" s="133">
        <f t="shared" si="28"/>
        <v>1615333</v>
      </c>
      <c r="AX125" s="133">
        <f t="shared" si="29"/>
        <v>43879</v>
      </c>
      <c r="AY125" s="134">
        <f t="shared" si="82"/>
        <v>2.7164058432533725E-2</v>
      </c>
      <c r="AZ125" s="5"/>
      <c r="BA125" s="7"/>
      <c r="BB125" s="7"/>
    </row>
    <row r="126" spans="1:54" ht="67.5">
      <c r="A126" s="105" t="s">
        <v>181</v>
      </c>
      <c r="B126" s="105" t="s">
        <v>259</v>
      </c>
      <c r="C126" s="105">
        <v>44121709</v>
      </c>
      <c r="D126" s="105" t="s">
        <v>625</v>
      </c>
      <c r="E126" s="106" t="s">
        <v>626</v>
      </c>
      <c r="F126" s="107" t="s">
        <v>185</v>
      </c>
      <c r="G126" s="108">
        <v>1</v>
      </c>
      <c r="H126" s="107" t="s">
        <v>186</v>
      </c>
      <c r="I126" s="109" t="s">
        <v>200</v>
      </c>
      <c r="J126" s="110">
        <v>46071</v>
      </c>
      <c r="K126" s="111" t="s">
        <v>264</v>
      </c>
      <c r="L126" s="112" t="s">
        <v>194</v>
      </c>
      <c r="M126" s="110" t="s">
        <v>265</v>
      </c>
      <c r="N126" s="113">
        <v>8600</v>
      </c>
      <c r="O126" s="113" t="s">
        <v>198</v>
      </c>
      <c r="P126" s="113" t="s">
        <v>192</v>
      </c>
      <c r="Q126" s="114">
        <f t="shared" si="67"/>
        <v>8600</v>
      </c>
      <c r="R126" s="115">
        <f t="shared" si="68"/>
        <v>1634</v>
      </c>
      <c r="S126" s="115">
        <f t="shared" si="69"/>
        <v>10234</v>
      </c>
      <c r="T126" s="115">
        <f t="shared" si="70"/>
        <v>8600</v>
      </c>
      <c r="U126" s="115">
        <f t="shared" si="71"/>
        <v>10234</v>
      </c>
      <c r="V126" s="116" t="s">
        <v>200</v>
      </c>
      <c r="W126" s="117">
        <v>46071</v>
      </c>
      <c r="X126" s="118" t="s">
        <v>488</v>
      </c>
      <c r="Y126" s="119" t="s">
        <v>194</v>
      </c>
      <c r="Z126" s="120" t="s">
        <v>489</v>
      </c>
      <c r="AA126" s="121">
        <v>10018</v>
      </c>
      <c r="AB126" s="121" t="s">
        <v>198</v>
      </c>
      <c r="AC126" s="121" t="s">
        <v>192</v>
      </c>
      <c r="AD126" s="122">
        <f t="shared" si="72"/>
        <v>10018</v>
      </c>
      <c r="AE126" s="123">
        <f t="shared" si="73"/>
        <v>1903.42</v>
      </c>
      <c r="AF126" s="123">
        <f t="shared" si="74"/>
        <v>11921.42</v>
      </c>
      <c r="AG126" s="123">
        <f t="shared" si="75"/>
        <v>10018</v>
      </c>
      <c r="AH126" s="123">
        <f t="shared" si="76"/>
        <v>11921.42</v>
      </c>
      <c r="AI126" s="124" t="s">
        <v>200</v>
      </c>
      <c r="AJ126" s="125">
        <v>46071</v>
      </c>
      <c r="AK126" s="126" t="s">
        <v>490</v>
      </c>
      <c r="AL126" s="127" t="s">
        <v>194</v>
      </c>
      <c r="AM126" s="128" t="s">
        <v>491</v>
      </c>
      <c r="AN126" s="129">
        <v>8151</v>
      </c>
      <c r="AO126" s="129" t="s">
        <v>198</v>
      </c>
      <c r="AP126" s="130" t="s">
        <v>192</v>
      </c>
      <c r="AQ126" s="131">
        <f t="shared" si="77"/>
        <v>8151</v>
      </c>
      <c r="AR126" s="132">
        <f t="shared" si="78"/>
        <v>1548.69</v>
      </c>
      <c r="AS126" s="132">
        <f t="shared" si="79"/>
        <v>9699.69</v>
      </c>
      <c r="AT126" s="132">
        <f t="shared" si="80"/>
        <v>8151</v>
      </c>
      <c r="AU126" s="132">
        <f t="shared" si="81"/>
        <v>9699.69</v>
      </c>
      <c r="AV126" s="133">
        <f t="shared" si="27"/>
        <v>10618</v>
      </c>
      <c r="AW126" s="133">
        <f t="shared" si="28"/>
        <v>10618</v>
      </c>
      <c r="AX126" s="133">
        <f t="shared" si="29"/>
        <v>1160</v>
      </c>
      <c r="AY126" s="134">
        <f t="shared" si="82"/>
        <v>0.10924844603503485</v>
      </c>
      <c r="AZ126" s="5"/>
      <c r="BA126" s="7">
        <f>COUNTA(M126,Z126,AM126)</f>
        <v>3</v>
      </c>
      <c r="BB126" s="7"/>
    </row>
    <row r="127" spans="1:54" ht="67.5">
      <c r="A127" s="105" t="s">
        <v>181</v>
      </c>
      <c r="B127" s="105" t="s">
        <v>259</v>
      </c>
      <c r="C127" s="105">
        <v>14111531</v>
      </c>
      <c r="D127" s="105" t="s">
        <v>627</v>
      </c>
      <c r="E127" s="106" t="s">
        <v>628</v>
      </c>
      <c r="F127" s="107" t="s">
        <v>185</v>
      </c>
      <c r="G127" s="108">
        <v>1</v>
      </c>
      <c r="H127" s="107" t="s">
        <v>186</v>
      </c>
      <c r="I127" s="109" t="s">
        <v>200</v>
      </c>
      <c r="J127" s="110">
        <v>46071</v>
      </c>
      <c r="K127" s="111" t="s">
        <v>629</v>
      </c>
      <c r="L127" s="112" t="s">
        <v>194</v>
      </c>
      <c r="M127" s="110" t="s">
        <v>246</v>
      </c>
      <c r="N127" s="113">
        <v>5990</v>
      </c>
      <c r="O127" s="113" t="s">
        <v>191</v>
      </c>
      <c r="P127" s="113" t="s">
        <v>192</v>
      </c>
      <c r="Q127" s="114">
        <f t="shared" si="67"/>
        <v>5033.6134453781515</v>
      </c>
      <c r="R127" s="115">
        <f t="shared" si="68"/>
        <v>956.38655462184875</v>
      </c>
      <c r="S127" s="115">
        <f t="shared" si="69"/>
        <v>5990</v>
      </c>
      <c r="T127" s="115">
        <f t="shared" si="70"/>
        <v>5990</v>
      </c>
      <c r="U127" s="115">
        <f t="shared" si="71"/>
        <v>5990</v>
      </c>
      <c r="V127" s="116" t="s">
        <v>630</v>
      </c>
      <c r="W127" s="117">
        <v>46071</v>
      </c>
      <c r="X127" s="118" t="s">
        <v>631</v>
      </c>
      <c r="Y127" s="119" t="s">
        <v>194</v>
      </c>
      <c r="Z127" s="120" t="s">
        <v>632</v>
      </c>
      <c r="AA127" s="121">
        <v>6500</v>
      </c>
      <c r="AB127" s="121" t="s">
        <v>191</v>
      </c>
      <c r="AC127" s="121" t="s">
        <v>192</v>
      </c>
      <c r="AD127" s="136">
        <f t="shared" si="72"/>
        <v>5462.1848739495799</v>
      </c>
      <c r="AE127" s="123">
        <f t="shared" si="73"/>
        <v>1037.8151260504203</v>
      </c>
      <c r="AF127" s="123">
        <f t="shared" si="74"/>
        <v>6500</v>
      </c>
      <c r="AG127" s="123">
        <f t="shared" si="75"/>
        <v>6500</v>
      </c>
      <c r="AH127" s="123">
        <f t="shared" si="76"/>
        <v>6500</v>
      </c>
      <c r="AI127" s="124" t="s">
        <v>200</v>
      </c>
      <c r="AJ127" s="125">
        <v>46071</v>
      </c>
      <c r="AK127" s="126" t="s">
        <v>447</v>
      </c>
      <c r="AL127" s="127" t="s">
        <v>194</v>
      </c>
      <c r="AM127" s="128" t="s">
        <v>482</v>
      </c>
      <c r="AN127" s="129">
        <v>5000</v>
      </c>
      <c r="AO127" s="129" t="s">
        <v>191</v>
      </c>
      <c r="AP127" s="130" t="s">
        <v>192</v>
      </c>
      <c r="AQ127" s="131">
        <f t="shared" si="77"/>
        <v>4201.680672268908</v>
      </c>
      <c r="AR127" s="131">
        <f t="shared" si="78"/>
        <v>798.31932773109247</v>
      </c>
      <c r="AS127" s="131">
        <f t="shared" si="79"/>
        <v>5000</v>
      </c>
      <c r="AT127" s="131">
        <f t="shared" si="80"/>
        <v>5000</v>
      </c>
      <c r="AU127" s="131">
        <f t="shared" si="81"/>
        <v>5000</v>
      </c>
      <c r="AV127" s="133">
        <f t="shared" si="27"/>
        <v>5830</v>
      </c>
      <c r="AW127" s="133">
        <f t="shared" si="28"/>
        <v>5830</v>
      </c>
      <c r="AX127" s="133">
        <f t="shared" si="29"/>
        <v>763</v>
      </c>
      <c r="AY127" s="134">
        <f t="shared" si="82"/>
        <v>0.13087478559176671</v>
      </c>
      <c r="AZ127" s="5"/>
      <c r="BA127" s="7">
        <f>COUNTA(M127,Z127,AM127)</f>
        <v>3</v>
      </c>
      <c r="BB127" s="7"/>
    </row>
    <row r="128" spans="1:54" ht="94.5">
      <c r="A128" s="105" t="s">
        <v>181</v>
      </c>
      <c r="B128" s="105" t="s">
        <v>259</v>
      </c>
      <c r="C128" s="105">
        <v>14111531</v>
      </c>
      <c r="D128" s="105" t="s">
        <v>633</v>
      </c>
      <c r="E128" s="106" t="s">
        <v>634</v>
      </c>
      <c r="F128" s="107" t="s">
        <v>185</v>
      </c>
      <c r="G128" s="108">
        <v>1</v>
      </c>
      <c r="H128" s="107" t="s">
        <v>186</v>
      </c>
      <c r="I128" s="109" t="s">
        <v>200</v>
      </c>
      <c r="J128" s="110">
        <v>46071</v>
      </c>
      <c r="K128" s="111" t="s">
        <v>488</v>
      </c>
      <c r="L128" s="112" t="s">
        <v>194</v>
      </c>
      <c r="M128" s="110" t="s">
        <v>489</v>
      </c>
      <c r="N128" s="113">
        <v>18890</v>
      </c>
      <c r="O128" s="113" t="s">
        <v>198</v>
      </c>
      <c r="P128" s="113" t="s">
        <v>198</v>
      </c>
      <c r="Q128" s="114">
        <f t="shared" si="67"/>
        <v>18890</v>
      </c>
      <c r="R128" s="115">
        <f t="shared" si="68"/>
        <v>0</v>
      </c>
      <c r="S128" s="115">
        <f t="shared" si="69"/>
        <v>18890</v>
      </c>
      <c r="T128" s="115">
        <f t="shared" si="70"/>
        <v>18890</v>
      </c>
      <c r="U128" s="115">
        <f t="shared" si="71"/>
        <v>18890</v>
      </c>
      <c r="V128" s="116" t="s">
        <v>200</v>
      </c>
      <c r="W128" s="117">
        <v>46071</v>
      </c>
      <c r="X128" s="118" t="s">
        <v>266</v>
      </c>
      <c r="Y128" s="119" t="s">
        <v>194</v>
      </c>
      <c r="Z128" s="120" t="s">
        <v>506</v>
      </c>
      <c r="AA128" s="121">
        <v>21200</v>
      </c>
      <c r="AB128" s="121" t="s">
        <v>191</v>
      </c>
      <c r="AC128" s="121" t="s">
        <v>192</v>
      </c>
      <c r="AD128" s="122">
        <f t="shared" si="72"/>
        <v>17815.126050420167</v>
      </c>
      <c r="AE128" s="123">
        <f t="shared" si="73"/>
        <v>3384.8739495798318</v>
      </c>
      <c r="AF128" s="123">
        <f t="shared" si="74"/>
        <v>21200</v>
      </c>
      <c r="AG128" s="123">
        <f t="shared" si="75"/>
        <v>21200</v>
      </c>
      <c r="AH128" s="123">
        <f t="shared" si="76"/>
        <v>21200</v>
      </c>
      <c r="AI128" s="124" t="s">
        <v>200</v>
      </c>
      <c r="AJ128" s="125">
        <v>46071</v>
      </c>
      <c r="AK128" s="126" t="s">
        <v>635</v>
      </c>
      <c r="AL128" s="127" t="s">
        <v>194</v>
      </c>
      <c r="AM128" s="128" t="s">
        <v>636</v>
      </c>
      <c r="AN128" s="129">
        <v>19900</v>
      </c>
      <c r="AO128" s="129" t="s">
        <v>191</v>
      </c>
      <c r="AP128" s="130" t="s">
        <v>192</v>
      </c>
      <c r="AQ128" s="131">
        <f t="shared" si="77"/>
        <v>16722.689075630253</v>
      </c>
      <c r="AR128" s="131">
        <f t="shared" si="78"/>
        <v>3177.3109243697481</v>
      </c>
      <c r="AS128" s="131">
        <f t="shared" si="79"/>
        <v>19900</v>
      </c>
      <c r="AT128" s="131">
        <f t="shared" si="80"/>
        <v>19900</v>
      </c>
      <c r="AU128" s="131">
        <f t="shared" si="81"/>
        <v>19900</v>
      </c>
      <c r="AV128" s="133">
        <f t="shared" si="27"/>
        <v>19997</v>
      </c>
      <c r="AW128" s="133">
        <f t="shared" si="28"/>
        <v>19997</v>
      </c>
      <c r="AX128" s="133">
        <f t="shared" si="29"/>
        <v>1158</v>
      </c>
      <c r="AY128" s="134">
        <f t="shared" si="82"/>
        <v>5.790868630294544E-2</v>
      </c>
      <c r="AZ128" s="5"/>
      <c r="BA128" s="7">
        <f>COUNTA(M128,Z128,AM128)</f>
        <v>3</v>
      </c>
      <c r="BB128" s="7" t="s">
        <v>637</v>
      </c>
    </row>
    <row r="129" spans="1:54" ht="297">
      <c r="A129" s="105" t="s">
        <v>252</v>
      </c>
      <c r="B129" s="105" t="s">
        <v>252</v>
      </c>
      <c r="C129" s="105" t="s">
        <v>252</v>
      </c>
      <c r="D129" s="105" t="s">
        <v>638</v>
      </c>
      <c r="E129" s="106" t="s">
        <v>639</v>
      </c>
      <c r="F129" s="107" t="s">
        <v>255</v>
      </c>
      <c r="G129" s="108">
        <v>1</v>
      </c>
      <c r="H129" s="107"/>
      <c r="I129" s="109"/>
      <c r="J129" s="110"/>
      <c r="K129" s="111"/>
      <c r="L129" s="112"/>
      <c r="M129" s="110"/>
      <c r="N129" s="113"/>
      <c r="O129" s="113"/>
      <c r="P129" s="113"/>
      <c r="Q129" s="114" t="s">
        <v>256</v>
      </c>
      <c r="R129" s="115" t="s">
        <v>256</v>
      </c>
      <c r="S129" s="115" t="s">
        <v>256</v>
      </c>
      <c r="T129" s="115" t="s">
        <v>256</v>
      </c>
      <c r="U129" s="115" t="s">
        <v>256</v>
      </c>
      <c r="V129" s="116" t="s">
        <v>252</v>
      </c>
      <c r="W129" s="117" t="s">
        <v>252</v>
      </c>
      <c r="X129" s="118" t="s">
        <v>252</v>
      </c>
      <c r="Y129" s="119" t="s">
        <v>252</v>
      </c>
      <c r="Z129" s="120" t="s">
        <v>257</v>
      </c>
      <c r="AA129" s="121" t="s">
        <v>252</v>
      </c>
      <c r="AB129" s="121" t="s">
        <v>252</v>
      </c>
      <c r="AC129" s="121" t="s">
        <v>252</v>
      </c>
      <c r="AD129" s="122" t="s">
        <v>252</v>
      </c>
      <c r="AE129" s="123" t="s">
        <v>252</v>
      </c>
      <c r="AF129" s="123">
        <f>AH129/1.19</f>
        <v>16641.176470588234</v>
      </c>
      <c r="AG129" s="123">
        <f>AF129*19%</f>
        <v>3161.8235294117644</v>
      </c>
      <c r="AH129" s="123">
        <v>19803</v>
      </c>
      <c r="AI129" s="124" t="s">
        <v>252</v>
      </c>
      <c r="AJ129" s="125" t="s">
        <v>252</v>
      </c>
      <c r="AK129" s="126" t="s">
        <v>252</v>
      </c>
      <c r="AL129" s="127" t="s">
        <v>252</v>
      </c>
      <c r="AM129" s="128" t="s">
        <v>258</v>
      </c>
      <c r="AN129" s="129" t="s">
        <v>252</v>
      </c>
      <c r="AO129" s="129" t="s">
        <v>252</v>
      </c>
      <c r="AP129" s="130" t="s">
        <v>252</v>
      </c>
      <c r="AQ129" s="131">
        <v>16395</v>
      </c>
      <c r="AR129" s="132">
        <v>3115</v>
      </c>
      <c r="AS129" s="132">
        <v>19510</v>
      </c>
      <c r="AT129" s="132">
        <v>16395</v>
      </c>
      <c r="AU129" s="132">
        <v>19510</v>
      </c>
      <c r="AV129" s="133">
        <f t="shared" si="27"/>
        <v>18076</v>
      </c>
      <c r="AW129" s="133">
        <f t="shared" si="28"/>
        <v>18076</v>
      </c>
      <c r="AX129" s="133" t="str">
        <f t="shared" si="29"/>
        <v/>
      </c>
      <c r="AY129" s="134">
        <v>1.0500000000000001E-2</v>
      </c>
      <c r="AZ129" s="5"/>
      <c r="BA129" s="7"/>
      <c r="BB129" s="7"/>
    </row>
    <row r="130" spans="1:54" ht="297">
      <c r="A130" s="105" t="s">
        <v>252</v>
      </c>
      <c r="B130" s="105" t="s">
        <v>252</v>
      </c>
      <c r="C130" s="105" t="s">
        <v>252</v>
      </c>
      <c r="D130" s="105" t="s">
        <v>640</v>
      </c>
      <c r="E130" s="106" t="s">
        <v>641</v>
      </c>
      <c r="F130" s="107" t="s">
        <v>255</v>
      </c>
      <c r="G130" s="108">
        <v>1</v>
      </c>
      <c r="H130" s="107"/>
      <c r="I130" s="109"/>
      <c r="J130" s="110"/>
      <c r="K130" s="111"/>
      <c r="L130" s="112"/>
      <c r="M130" s="110"/>
      <c r="N130" s="113"/>
      <c r="O130" s="113"/>
      <c r="P130" s="113"/>
      <c r="Q130" s="114" t="s">
        <v>256</v>
      </c>
      <c r="R130" s="115" t="s">
        <v>256</v>
      </c>
      <c r="S130" s="115" t="s">
        <v>256</v>
      </c>
      <c r="T130" s="115" t="s">
        <v>256</v>
      </c>
      <c r="U130" s="115" t="s">
        <v>256</v>
      </c>
      <c r="V130" s="116" t="s">
        <v>252</v>
      </c>
      <c r="W130" s="117" t="s">
        <v>252</v>
      </c>
      <c r="X130" s="118" t="s">
        <v>252</v>
      </c>
      <c r="Y130" s="119" t="s">
        <v>252</v>
      </c>
      <c r="Z130" s="120" t="s">
        <v>257</v>
      </c>
      <c r="AA130" s="121" t="s">
        <v>252</v>
      </c>
      <c r="AB130" s="121" t="s">
        <v>252</v>
      </c>
      <c r="AC130" s="121" t="s">
        <v>252</v>
      </c>
      <c r="AD130" s="122" t="s">
        <v>252</v>
      </c>
      <c r="AE130" s="123" t="s">
        <v>252</v>
      </c>
      <c r="AF130" s="123">
        <f>AH130/1.19</f>
        <v>1191859.6638655462</v>
      </c>
      <c r="AG130" s="123">
        <f>AF130*19%</f>
        <v>226453.3361344538</v>
      </c>
      <c r="AH130" s="123">
        <v>1418313</v>
      </c>
      <c r="AI130" s="124" t="s">
        <v>252</v>
      </c>
      <c r="AJ130" s="125" t="s">
        <v>252</v>
      </c>
      <c r="AK130" s="126" t="s">
        <v>252</v>
      </c>
      <c r="AL130" s="127" t="s">
        <v>252</v>
      </c>
      <c r="AM130" s="128" t="s">
        <v>258</v>
      </c>
      <c r="AN130" s="129" t="s">
        <v>252</v>
      </c>
      <c r="AO130" s="129" t="s">
        <v>252</v>
      </c>
      <c r="AP130" s="130" t="s">
        <v>252</v>
      </c>
      <c r="AQ130" s="131">
        <v>1157309</v>
      </c>
      <c r="AR130" s="132">
        <v>219889</v>
      </c>
      <c r="AS130" s="132">
        <v>1377198</v>
      </c>
      <c r="AT130" s="132">
        <v>1157309</v>
      </c>
      <c r="AU130" s="132">
        <v>1377198</v>
      </c>
      <c r="AV130" s="133">
        <f t="shared" si="27"/>
        <v>1284529</v>
      </c>
      <c r="AW130" s="133">
        <f t="shared" si="28"/>
        <v>1284529</v>
      </c>
      <c r="AX130" s="133" t="str">
        <f t="shared" si="29"/>
        <v/>
      </c>
      <c r="AY130" s="134">
        <v>2.0799999999999999E-2</v>
      </c>
      <c r="AZ130" s="5"/>
      <c r="BA130" s="7"/>
      <c r="BB130" s="7"/>
    </row>
    <row r="131" spans="1:54" ht="297">
      <c r="A131" s="105" t="s">
        <v>252</v>
      </c>
      <c r="B131" s="105" t="s">
        <v>252</v>
      </c>
      <c r="C131" s="105" t="s">
        <v>252</v>
      </c>
      <c r="D131" s="105" t="s">
        <v>642</v>
      </c>
      <c r="E131" s="106" t="s">
        <v>643</v>
      </c>
      <c r="F131" s="107" t="s">
        <v>255</v>
      </c>
      <c r="G131" s="108">
        <v>1</v>
      </c>
      <c r="H131" s="107"/>
      <c r="I131" s="109"/>
      <c r="J131" s="110"/>
      <c r="K131" s="111"/>
      <c r="L131" s="112"/>
      <c r="M131" s="110"/>
      <c r="N131" s="113"/>
      <c r="O131" s="113"/>
      <c r="P131" s="113"/>
      <c r="Q131" s="114" t="s">
        <v>256</v>
      </c>
      <c r="R131" s="115" t="s">
        <v>256</v>
      </c>
      <c r="S131" s="115" t="s">
        <v>256</v>
      </c>
      <c r="T131" s="115" t="s">
        <v>256</v>
      </c>
      <c r="U131" s="115" t="s">
        <v>256</v>
      </c>
      <c r="V131" s="116" t="s">
        <v>252</v>
      </c>
      <c r="W131" s="117" t="s">
        <v>252</v>
      </c>
      <c r="X131" s="118" t="s">
        <v>252</v>
      </c>
      <c r="Y131" s="119" t="s">
        <v>252</v>
      </c>
      <c r="Z131" s="120" t="s">
        <v>257</v>
      </c>
      <c r="AA131" s="121" t="s">
        <v>252</v>
      </c>
      <c r="AB131" s="121" t="s">
        <v>252</v>
      </c>
      <c r="AC131" s="121" t="s">
        <v>252</v>
      </c>
      <c r="AD131" s="122" t="s">
        <v>252</v>
      </c>
      <c r="AE131" s="123" t="s">
        <v>252</v>
      </c>
      <c r="AF131" s="123">
        <f>AH131/1.19</f>
        <v>1293627.7310924369</v>
      </c>
      <c r="AG131" s="123">
        <f>AF131*19%</f>
        <v>245789.26890756303</v>
      </c>
      <c r="AH131" s="123">
        <v>1539417</v>
      </c>
      <c r="AI131" s="124" t="s">
        <v>252</v>
      </c>
      <c r="AJ131" s="125" t="s">
        <v>252</v>
      </c>
      <c r="AK131" s="126" t="s">
        <v>252</v>
      </c>
      <c r="AL131" s="127" t="s">
        <v>252</v>
      </c>
      <c r="AM131" s="128" t="s">
        <v>258</v>
      </c>
      <c r="AN131" s="129" t="s">
        <v>252</v>
      </c>
      <c r="AO131" s="129" t="s">
        <v>252</v>
      </c>
      <c r="AP131" s="130" t="s">
        <v>252</v>
      </c>
      <c r="AQ131" s="131">
        <v>1256128</v>
      </c>
      <c r="AR131" s="132">
        <v>238664</v>
      </c>
      <c r="AS131" s="132">
        <v>1494792</v>
      </c>
      <c r="AT131" s="132">
        <v>1256128</v>
      </c>
      <c r="AU131" s="132">
        <v>1494792</v>
      </c>
      <c r="AV131" s="133">
        <f t="shared" si="27"/>
        <v>1394210</v>
      </c>
      <c r="AW131" s="133">
        <f t="shared" si="28"/>
        <v>1394210</v>
      </c>
      <c r="AX131" s="133" t="str">
        <f t="shared" si="29"/>
        <v/>
      </c>
      <c r="AY131" s="134">
        <v>2.0799999999999999E-2</v>
      </c>
      <c r="AZ131" s="5"/>
      <c r="BA131" s="7"/>
      <c r="BB131" s="7"/>
    </row>
    <row r="132" spans="1:54" ht="297">
      <c r="A132" s="105" t="s">
        <v>252</v>
      </c>
      <c r="B132" s="105" t="s">
        <v>252</v>
      </c>
      <c r="C132" s="105" t="s">
        <v>252</v>
      </c>
      <c r="D132" s="105" t="s">
        <v>644</v>
      </c>
      <c r="E132" s="106" t="s">
        <v>645</v>
      </c>
      <c r="F132" s="107" t="s">
        <v>255</v>
      </c>
      <c r="G132" s="108">
        <v>1</v>
      </c>
      <c r="H132" s="107"/>
      <c r="I132" s="109"/>
      <c r="J132" s="110"/>
      <c r="K132" s="111"/>
      <c r="L132" s="112"/>
      <c r="M132" s="110"/>
      <c r="N132" s="113"/>
      <c r="O132" s="113"/>
      <c r="P132" s="113"/>
      <c r="Q132" s="114" t="s">
        <v>256</v>
      </c>
      <c r="R132" s="115" t="s">
        <v>256</v>
      </c>
      <c r="S132" s="115" t="s">
        <v>256</v>
      </c>
      <c r="T132" s="115" t="s">
        <v>256</v>
      </c>
      <c r="U132" s="115" t="s">
        <v>256</v>
      </c>
      <c r="V132" s="116" t="s">
        <v>252</v>
      </c>
      <c r="W132" s="117" t="s">
        <v>252</v>
      </c>
      <c r="X132" s="118" t="s">
        <v>252</v>
      </c>
      <c r="Y132" s="119" t="s">
        <v>252</v>
      </c>
      <c r="Z132" s="120" t="s">
        <v>257</v>
      </c>
      <c r="AA132" s="121" t="s">
        <v>252</v>
      </c>
      <c r="AB132" s="121" t="s">
        <v>252</v>
      </c>
      <c r="AC132" s="121" t="s">
        <v>252</v>
      </c>
      <c r="AD132" s="122" t="s">
        <v>252</v>
      </c>
      <c r="AE132" s="123" t="s">
        <v>252</v>
      </c>
      <c r="AF132" s="123">
        <f>AH132/1.19</f>
        <v>2651329.411764706</v>
      </c>
      <c r="AG132" s="123">
        <f>AF132*19%</f>
        <v>503752.58823529416</v>
      </c>
      <c r="AH132" s="123">
        <v>3155082</v>
      </c>
      <c r="AI132" s="124" t="s">
        <v>252</v>
      </c>
      <c r="AJ132" s="125" t="s">
        <v>252</v>
      </c>
      <c r="AK132" s="126" t="s">
        <v>252</v>
      </c>
      <c r="AL132" s="127" t="s">
        <v>252</v>
      </c>
      <c r="AM132" s="128" t="s">
        <v>258</v>
      </c>
      <c r="AN132" s="129" t="s">
        <v>252</v>
      </c>
      <c r="AO132" s="129" t="s">
        <v>252</v>
      </c>
      <c r="AP132" s="130" t="s">
        <v>252</v>
      </c>
      <c r="AQ132" s="131">
        <v>2561913</v>
      </c>
      <c r="AR132" s="132">
        <v>486764</v>
      </c>
      <c r="AS132" s="132">
        <v>3048677</v>
      </c>
      <c r="AT132" s="132">
        <v>2561913</v>
      </c>
      <c r="AU132" s="132">
        <v>3048677</v>
      </c>
      <c r="AV132" s="133">
        <f t="shared" ref="AV132:AV195" si="83">IF(A132="","",ROUND(AVERAGE(S132,AF132,AS132),0))</f>
        <v>2850003</v>
      </c>
      <c r="AW132" s="133">
        <f t="shared" ref="AW132:AW195" si="84">IF(A132="","",AV132*G132)</f>
        <v>2850003</v>
      </c>
      <c r="AX132" s="133" t="str">
        <f t="shared" ref="AX132:AX195" si="85">IF(N132="","",ROUND(STDEV(U132,AH132,AU132),0))</f>
        <v/>
      </c>
      <c r="AY132" s="134">
        <v>2.4299999999999999E-2</v>
      </c>
      <c r="AZ132" s="5"/>
      <c r="BA132" s="7"/>
      <c r="BB132" s="7"/>
    </row>
    <row r="133" spans="1:54" ht="255">
      <c r="A133" s="105" t="s">
        <v>181</v>
      </c>
      <c r="B133" s="105" t="s">
        <v>182</v>
      </c>
      <c r="C133" s="105">
        <v>60101405</v>
      </c>
      <c r="D133" s="105" t="s">
        <v>646</v>
      </c>
      <c r="E133" s="106" t="s">
        <v>647</v>
      </c>
      <c r="F133" s="107" t="s">
        <v>648</v>
      </c>
      <c r="G133" s="108">
        <v>1</v>
      </c>
      <c r="H133" s="107" t="s">
        <v>186</v>
      </c>
      <c r="I133" s="109" t="s">
        <v>187</v>
      </c>
      <c r="J133" s="110">
        <v>46153</v>
      </c>
      <c r="K133" s="111" t="s">
        <v>213</v>
      </c>
      <c r="L133" s="112" t="s">
        <v>189</v>
      </c>
      <c r="M133" s="110" t="s">
        <v>548</v>
      </c>
      <c r="N133" s="113">
        <v>70000</v>
      </c>
      <c r="O133" s="113" t="s">
        <v>198</v>
      </c>
      <c r="P133" s="113" t="s">
        <v>192</v>
      </c>
      <c r="Q133" s="114">
        <f>IF(O133="IVA Incluido",(N133/1.19),N133)</f>
        <v>70000</v>
      </c>
      <c r="R133" s="115">
        <f>IF(P133="Si tiene IVA",Q133*19%,0)</f>
        <v>13300</v>
      </c>
      <c r="S133" s="115">
        <f>Q133+R133</f>
        <v>83300</v>
      </c>
      <c r="T133" s="115">
        <f>IF(B133="","",(N133*G133))</f>
        <v>70000</v>
      </c>
      <c r="U133" s="115">
        <f>IF(B133="","",(S133*G133))</f>
        <v>83300</v>
      </c>
      <c r="V133" s="116" t="s">
        <v>187</v>
      </c>
      <c r="W133" s="117">
        <v>46153</v>
      </c>
      <c r="X133" s="118" t="s">
        <v>208</v>
      </c>
      <c r="Y133" s="119" t="s">
        <v>189</v>
      </c>
      <c r="Z133" s="120" t="s">
        <v>205</v>
      </c>
      <c r="AA133" s="121">
        <v>70000</v>
      </c>
      <c r="AB133" s="121" t="s">
        <v>191</v>
      </c>
      <c r="AC133" s="121" t="s">
        <v>192</v>
      </c>
      <c r="AD133" s="122">
        <f>IF(AB133="IVA Incluido",(AA133/1.19),AA133)</f>
        <v>58823.529411764706</v>
      </c>
      <c r="AE133" s="123">
        <f>IF(AC133="Si tiene IVA",AD133*19%,0)</f>
        <v>11176.470588235294</v>
      </c>
      <c r="AF133" s="123">
        <f>AD133+AE133</f>
        <v>70000</v>
      </c>
      <c r="AG133" s="123">
        <f>IF(O133="","",(AA133*G133))</f>
        <v>70000</v>
      </c>
      <c r="AH133" s="123">
        <f>IF(O133="","",(AF133*G133))</f>
        <v>70000</v>
      </c>
      <c r="AI133" s="124" t="s">
        <v>187</v>
      </c>
      <c r="AJ133" s="125">
        <v>46153</v>
      </c>
      <c r="AK133" s="126" t="s">
        <v>649</v>
      </c>
      <c r="AL133" s="127" t="s">
        <v>194</v>
      </c>
      <c r="AM133" s="128" t="s">
        <v>217</v>
      </c>
      <c r="AN133" s="129">
        <v>80000</v>
      </c>
      <c r="AO133" s="129" t="s">
        <v>198</v>
      </c>
      <c r="AP133" s="130" t="s">
        <v>218</v>
      </c>
      <c r="AQ133" s="131">
        <f>IF(AO133="IVA Incluido",(AN133/1.19),AN133)</f>
        <v>80000</v>
      </c>
      <c r="AR133" s="132">
        <f>IF(AP133="Si tiene IVA",AQ133*19%,0)</f>
        <v>0</v>
      </c>
      <c r="AS133" s="132">
        <f>AQ133+AR133</f>
        <v>80000</v>
      </c>
      <c r="AT133" s="132">
        <f>IF(AB133="","",(AN133*G133))</f>
        <v>80000</v>
      </c>
      <c r="AU133" s="132">
        <f>IF(AB133="","",(AS133*G133))</f>
        <v>80000</v>
      </c>
      <c r="AV133" s="133">
        <f t="shared" si="83"/>
        <v>77767</v>
      </c>
      <c r="AW133" s="133">
        <f t="shared" si="84"/>
        <v>77767</v>
      </c>
      <c r="AX133" s="133">
        <f t="shared" si="85"/>
        <v>6926</v>
      </c>
      <c r="AY133" s="134">
        <f>IF(N133="","",(AX133/AW133))</f>
        <v>8.9060912726477814E-2</v>
      </c>
      <c r="AZ133" s="5" t="s">
        <v>650</v>
      </c>
      <c r="BA133" s="7">
        <f>COUNTA(M133,Z133,AM133)</f>
        <v>3</v>
      </c>
      <c r="BB133" s="7" t="s">
        <v>230</v>
      </c>
    </row>
    <row r="134" spans="1:54" ht="255">
      <c r="A134" s="105" t="s">
        <v>181</v>
      </c>
      <c r="B134" s="105" t="s">
        <v>182</v>
      </c>
      <c r="C134" s="105"/>
      <c r="D134" s="105" t="s">
        <v>651</v>
      </c>
      <c r="E134" s="106" t="s">
        <v>647</v>
      </c>
      <c r="F134" s="107" t="s">
        <v>185</v>
      </c>
      <c r="G134" s="108">
        <v>1</v>
      </c>
      <c r="H134" s="107" t="s">
        <v>186</v>
      </c>
      <c r="I134" s="109" t="s">
        <v>187</v>
      </c>
      <c r="J134" s="110">
        <v>46153</v>
      </c>
      <c r="K134" s="111" t="s">
        <v>211</v>
      </c>
      <c r="L134" s="112" t="s">
        <v>189</v>
      </c>
      <c r="M134" s="110" t="s">
        <v>212</v>
      </c>
      <c r="N134" s="113">
        <v>230000</v>
      </c>
      <c r="O134" s="113" t="s">
        <v>198</v>
      </c>
      <c r="P134" s="113" t="s">
        <v>192</v>
      </c>
      <c r="Q134" s="114">
        <f>IF(O134="IVA Incluido",(N134/1.19),N134)</f>
        <v>230000</v>
      </c>
      <c r="R134" s="115">
        <f>IF(P134="Si tiene IVA",Q134*19%,IF(P134="Si tiene IPOCONSUMO",Q134*8%,0))</f>
        <v>43700</v>
      </c>
      <c r="S134" s="115">
        <f>Q134+R134</f>
        <v>273700</v>
      </c>
      <c r="T134" s="115">
        <f>IF(B134="","",(N134*G134))</f>
        <v>230000</v>
      </c>
      <c r="U134" s="115">
        <f>IF(B134="","",(S134*G134))</f>
        <v>273700</v>
      </c>
      <c r="V134" s="116" t="s">
        <v>187</v>
      </c>
      <c r="W134" s="117">
        <v>46153</v>
      </c>
      <c r="X134" s="118" t="s">
        <v>652</v>
      </c>
      <c r="Y134" s="119" t="s">
        <v>189</v>
      </c>
      <c r="Z134" s="120" t="s">
        <v>653</v>
      </c>
      <c r="AA134" s="121">
        <v>232500</v>
      </c>
      <c r="AB134" s="121" t="s">
        <v>198</v>
      </c>
      <c r="AC134" s="121" t="s">
        <v>192</v>
      </c>
      <c r="AD134" s="122">
        <f>IF(AB134="IVA Incluido",(AA134/1.19),AA134)</f>
        <v>232500</v>
      </c>
      <c r="AE134" s="123">
        <f>IF(AC134="Si tiene IVA",AD134*19%,IF(AC134="Si tiene IPOCONSUMO",AD134*8%,0))</f>
        <v>44175</v>
      </c>
      <c r="AF134" s="123">
        <f>AD134+AE134</f>
        <v>276675</v>
      </c>
      <c r="AG134" s="123">
        <f>IF(O134="","",(AA134*G134))</f>
        <v>232500</v>
      </c>
      <c r="AH134" s="123">
        <f>IF(O134="","",(AF134*G134))</f>
        <v>276675</v>
      </c>
      <c r="AI134" s="124" t="s">
        <v>187</v>
      </c>
      <c r="AJ134" s="125">
        <v>46153</v>
      </c>
      <c r="AK134" s="126" t="s">
        <v>213</v>
      </c>
      <c r="AL134" s="127" t="s">
        <v>189</v>
      </c>
      <c r="AM134" s="128" t="s">
        <v>548</v>
      </c>
      <c r="AN134" s="129">
        <v>200000</v>
      </c>
      <c r="AO134" s="129" t="s">
        <v>198</v>
      </c>
      <c r="AP134" s="130" t="s">
        <v>192</v>
      </c>
      <c r="AQ134" s="131">
        <f>IF(AO134="IVA Incluido",(AN134/1.19),AN134)</f>
        <v>200000</v>
      </c>
      <c r="AR134" s="132">
        <f>IF(AP134="Si tiene IVA",AQ134*19%,0)</f>
        <v>38000</v>
      </c>
      <c r="AS134" s="132">
        <f>AQ134+AR134</f>
        <v>238000</v>
      </c>
      <c r="AT134" s="132">
        <f>IF(AB134="","",(AN134*G134))</f>
        <v>200000</v>
      </c>
      <c r="AU134" s="132">
        <f>IF(AB134="","",(AS134*G134))</f>
        <v>238000</v>
      </c>
      <c r="AV134" s="133">
        <f t="shared" si="83"/>
        <v>262792</v>
      </c>
      <c r="AW134" s="133">
        <f t="shared" si="84"/>
        <v>262792</v>
      </c>
      <c r="AX134" s="133">
        <f t="shared" si="85"/>
        <v>21522</v>
      </c>
      <c r="AY134" s="134">
        <f>IF(N134="","",(AX134/AW134))</f>
        <v>8.189747024262535E-2</v>
      </c>
      <c r="AZ134" s="5" t="s">
        <v>650</v>
      </c>
      <c r="BA134" s="7">
        <f>COUNTA(M134,Z134,AM134)</f>
        <v>3</v>
      </c>
      <c r="BB134" s="7"/>
    </row>
    <row r="135" spans="1:54" ht="255">
      <c r="A135" s="105" t="s">
        <v>181</v>
      </c>
      <c r="B135" s="105" t="s">
        <v>182</v>
      </c>
      <c r="C135" s="105"/>
      <c r="D135" s="105" t="s">
        <v>654</v>
      </c>
      <c r="E135" s="106" t="s">
        <v>647</v>
      </c>
      <c r="F135" s="107" t="s">
        <v>185</v>
      </c>
      <c r="G135" s="108">
        <v>1</v>
      </c>
      <c r="H135" s="107" t="s">
        <v>186</v>
      </c>
      <c r="I135" s="109" t="s">
        <v>187</v>
      </c>
      <c r="J135" s="110">
        <v>46153</v>
      </c>
      <c r="K135" s="111" t="s">
        <v>211</v>
      </c>
      <c r="L135" s="112" t="s">
        <v>189</v>
      </c>
      <c r="M135" s="110" t="s">
        <v>212</v>
      </c>
      <c r="N135" s="113">
        <v>120000</v>
      </c>
      <c r="O135" s="113" t="s">
        <v>198</v>
      </c>
      <c r="P135" s="113" t="s">
        <v>192</v>
      </c>
      <c r="Q135" s="114">
        <f>IF(O135="IVA Incluido",(N135/1.19),N135)</f>
        <v>120000</v>
      </c>
      <c r="R135" s="115">
        <f>IF(P135="Si tiene IVA",Q135*19%,0)</f>
        <v>22800</v>
      </c>
      <c r="S135" s="115">
        <f>Q135+R135</f>
        <v>142800</v>
      </c>
      <c r="T135" s="115">
        <f>IF(B135="","",(N135*G135))</f>
        <v>120000</v>
      </c>
      <c r="U135" s="115">
        <f>IF(B135="","",(S135*G135))</f>
        <v>142800</v>
      </c>
      <c r="V135" s="116" t="s">
        <v>187</v>
      </c>
      <c r="W135" s="117">
        <v>46153</v>
      </c>
      <c r="X135" s="118" t="s">
        <v>652</v>
      </c>
      <c r="Y135" s="119" t="s">
        <v>189</v>
      </c>
      <c r="Z135" s="120" t="s">
        <v>653</v>
      </c>
      <c r="AA135" s="121">
        <v>108000</v>
      </c>
      <c r="AB135" s="121" t="s">
        <v>198</v>
      </c>
      <c r="AC135" s="121" t="s">
        <v>192</v>
      </c>
      <c r="AD135" s="122">
        <f>IF(AB135="IVA Incluido",(AA135/1.19),AA135)</f>
        <v>108000</v>
      </c>
      <c r="AE135" s="123">
        <f>IF(AC135="Si tiene IVA",AD135*19%,0)</f>
        <v>20520</v>
      </c>
      <c r="AF135" s="123">
        <f>AD135+AE135</f>
        <v>128520</v>
      </c>
      <c r="AG135" s="123">
        <f>IF(O135="","",(AA135*G135))</f>
        <v>108000</v>
      </c>
      <c r="AH135" s="123">
        <f>IF(O135="","",(AF135*G135))</f>
        <v>128520</v>
      </c>
      <c r="AI135" s="124" t="s">
        <v>187</v>
      </c>
      <c r="AJ135" s="125">
        <v>46153</v>
      </c>
      <c r="AK135" s="126" t="s">
        <v>655</v>
      </c>
      <c r="AL135" s="127" t="s">
        <v>189</v>
      </c>
      <c r="AM135" s="128" t="s">
        <v>656</v>
      </c>
      <c r="AN135" s="129">
        <v>150000</v>
      </c>
      <c r="AO135" s="129" t="s">
        <v>198</v>
      </c>
      <c r="AP135" s="130" t="s">
        <v>218</v>
      </c>
      <c r="AQ135" s="131">
        <f>IF(AO135="IVA Incluido",(AN135/1.19),AN135)</f>
        <v>150000</v>
      </c>
      <c r="AR135" s="132">
        <f>IF(AP135="Si tiene IVA",AQ135*19%,0)</f>
        <v>0</v>
      </c>
      <c r="AS135" s="132">
        <f>AQ135+AR135</f>
        <v>150000</v>
      </c>
      <c r="AT135" s="132">
        <f>IF(AB135="","",(AN135*G135))</f>
        <v>150000</v>
      </c>
      <c r="AU135" s="132">
        <f>IF(AB135="","",(AS135*G135))</f>
        <v>150000</v>
      </c>
      <c r="AV135" s="133">
        <f t="shared" si="83"/>
        <v>140440</v>
      </c>
      <c r="AW135" s="133">
        <f t="shared" si="84"/>
        <v>140440</v>
      </c>
      <c r="AX135" s="133">
        <f t="shared" si="85"/>
        <v>10933</v>
      </c>
      <c r="AY135" s="134">
        <f>IF(N135="","",(AX135/AW135))</f>
        <v>7.7848191398461983E-2</v>
      </c>
      <c r="AZ135" s="5" t="s">
        <v>650</v>
      </c>
      <c r="BA135" s="7">
        <f>COUNTA(M135,Z135,AM135)</f>
        <v>3</v>
      </c>
      <c r="BB135" s="7" t="s">
        <v>230</v>
      </c>
    </row>
    <row r="136" spans="1:54" ht="67.5">
      <c r="A136" s="105" t="s">
        <v>181</v>
      </c>
      <c r="B136" s="105" t="s">
        <v>259</v>
      </c>
      <c r="C136" s="105">
        <v>44121702</v>
      </c>
      <c r="D136" s="105" t="s">
        <v>657</v>
      </c>
      <c r="E136" s="106" t="s">
        <v>658</v>
      </c>
      <c r="F136" s="107" t="s">
        <v>185</v>
      </c>
      <c r="G136" s="108">
        <v>1</v>
      </c>
      <c r="H136" s="107" t="s">
        <v>186</v>
      </c>
      <c r="I136" s="109" t="s">
        <v>187</v>
      </c>
      <c r="J136" s="110">
        <v>46139</v>
      </c>
      <c r="K136" s="111" t="s">
        <v>659</v>
      </c>
      <c r="L136" s="112" t="s">
        <v>189</v>
      </c>
      <c r="M136" s="110" t="s">
        <v>592</v>
      </c>
      <c r="N136" s="113">
        <v>6435</v>
      </c>
      <c r="O136" s="113" t="s">
        <v>191</v>
      </c>
      <c r="P136" s="113" t="s">
        <v>192</v>
      </c>
      <c r="Q136" s="114">
        <f>IF(O136="IVA Incluido",(N136/1.19),N136)</f>
        <v>5407.5630252100846</v>
      </c>
      <c r="R136" s="115">
        <f>IF(P136="Si tiene IVA",Q136*19%,0)</f>
        <v>1027.4369747899161</v>
      </c>
      <c r="S136" s="115">
        <f>Q136+R136</f>
        <v>6435.0000000000009</v>
      </c>
      <c r="T136" s="115">
        <f>IF(B136="","",(N136*G136))</f>
        <v>6435</v>
      </c>
      <c r="U136" s="115">
        <f>IF(B136="","",(S136*G136))</f>
        <v>6435.0000000000009</v>
      </c>
      <c r="V136" s="116" t="s">
        <v>187</v>
      </c>
      <c r="W136" s="117">
        <v>46139</v>
      </c>
      <c r="X136" s="118" t="s">
        <v>488</v>
      </c>
      <c r="Y136" s="119" t="s">
        <v>194</v>
      </c>
      <c r="Z136" s="120" t="s">
        <v>660</v>
      </c>
      <c r="AA136" s="121">
        <v>5508</v>
      </c>
      <c r="AB136" s="121" t="s">
        <v>191</v>
      </c>
      <c r="AC136" s="121" t="s">
        <v>192</v>
      </c>
      <c r="AD136" s="122">
        <f>IF(AB136="IVA Incluido",(AA136/1.19),AA136)</f>
        <v>4628.5714285714284</v>
      </c>
      <c r="AE136" s="123">
        <f>IF(AC136="Si tiene IVA",AD136*19%,0)</f>
        <v>879.42857142857144</v>
      </c>
      <c r="AF136" s="123">
        <f>AD136+AE136</f>
        <v>5508</v>
      </c>
      <c r="AG136" s="123">
        <f>IF(O136="","",(AA136*G136))</f>
        <v>5508</v>
      </c>
      <c r="AH136" s="123">
        <f>IF(O136="","",(AF136*G136))</f>
        <v>5508</v>
      </c>
      <c r="AI136" s="124" t="s">
        <v>187</v>
      </c>
      <c r="AJ136" s="125">
        <v>46139</v>
      </c>
      <c r="AK136" s="126" t="s">
        <v>661</v>
      </c>
      <c r="AL136" s="127" t="s">
        <v>194</v>
      </c>
      <c r="AM136" s="128" t="s">
        <v>662</v>
      </c>
      <c r="AN136" s="129">
        <v>5913</v>
      </c>
      <c r="AO136" s="129" t="s">
        <v>191</v>
      </c>
      <c r="AP136" s="130" t="s">
        <v>192</v>
      </c>
      <c r="AQ136" s="131">
        <f>IF(AO136="IVA Incluido",(AN136/1.19),AN136)</f>
        <v>4968.90756302521</v>
      </c>
      <c r="AR136" s="132">
        <f>IF(AP136="Si tiene IVA",AQ136*19%,0)</f>
        <v>944.09243697478996</v>
      </c>
      <c r="AS136" s="132">
        <f>AQ136+AR136</f>
        <v>5913</v>
      </c>
      <c r="AT136" s="132">
        <f>IF(AB136="","",(AN136*G136))</f>
        <v>5913</v>
      </c>
      <c r="AU136" s="132">
        <f>IF(AB136="","",(AS136*G136))</f>
        <v>5913</v>
      </c>
      <c r="AV136" s="133">
        <f t="shared" si="83"/>
        <v>5952</v>
      </c>
      <c r="AW136" s="133">
        <f t="shared" si="84"/>
        <v>5952</v>
      </c>
      <c r="AX136" s="133">
        <f t="shared" si="85"/>
        <v>465</v>
      </c>
      <c r="AY136" s="134">
        <f>IF(N136="","",(AX136/AW136))</f>
        <v>7.8125E-2</v>
      </c>
      <c r="AZ136" s="5"/>
      <c r="BA136" s="7">
        <f>COUNTA(M136,Z136,AM136)</f>
        <v>3</v>
      </c>
      <c r="BB136" s="7"/>
    </row>
    <row r="137" spans="1:54" ht="297">
      <c r="A137" s="105" t="s">
        <v>252</v>
      </c>
      <c r="B137" s="105" t="s">
        <v>252</v>
      </c>
      <c r="C137" s="105" t="s">
        <v>252</v>
      </c>
      <c r="D137" s="105" t="s">
        <v>663</v>
      </c>
      <c r="E137" s="106" t="s">
        <v>664</v>
      </c>
      <c r="F137" s="107" t="s">
        <v>255</v>
      </c>
      <c r="G137" s="108">
        <v>1</v>
      </c>
      <c r="H137" s="107"/>
      <c r="I137" s="109"/>
      <c r="J137" s="110"/>
      <c r="K137" s="111"/>
      <c r="L137" s="112"/>
      <c r="M137" s="110"/>
      <c r="N137" s="113"/>
      <c r="O137" s="113"/>
      <c r="P137" s="113"/>
      <c r="Q137" s="114" t="s">
        <v>256</v>
      </c>
      <c r="R137" s="115" t="s">
        <v>256</v>
      </c>
      <c r="S137" s="115" t="s">
        <v>256</v>
      </c>
      <c r="T137" s="115" t="s">
        <v>256</v>
      </c>
      <c r="U137" s="115" t="s">
        <v>256</v>
      </c>
      <c r="V137" s="116" t="s">
        <v>252</v>
      </c>
      <c r="W137" s="117" t="s">
        <v>252</v>
      </c>
      <c r="X137" s="118" t="s">
        <v>252</v>
      </c>
      <c r="Y137" s="119" t="s">
        <v>252</v>
      </c>
      <c r="Z137" s="120" t="s">
        <v>257</v>
      </c>
      <c r="AA137" s="121" t="s">
        <v>252</v>
      </c>
      <c r="AB137" s="121" t="s">
        <v>252</v>
      </c>
      <c r="AC137" s="121" t="s">
        <v>252</v>
      </c>
      <c r="AD137" s="122" t="s">
        <v>252</v>
      </c>
      <c r="AE137" s="123" t="s">
        <v>252</v>
      </c>
      <c r="AF137" s="123">
        <f>AH137/1.19</f>
        <v>432995.79831932776</v>
      </c>
      <c r="AG137" s="123">
        <f>AF137*19%</f>
        <v>82269.201680672282</v>
      </c>
      <c r="AH137" s="123">
        <v>515265</v>
      </c>
      <c r="AI137" s="124" t="s">
        <v>252</v>
      </c>
      <c r="AJ137" s="125" t="s">
        <v>252</v>
      </c>
      <c r="AK137" s="126" t="s">
        <v>252</v>
      </c>
      <c r="AL137" s="127" t="s">
        <v>252</v>
      </c>
      <c r="AM137" s="128" t="s">
        <v>258</v>
      </c>
      <c r="AN137" s="129" t="s">
        <v>252</v>
      </c>
      <c r="AO137" s="129" t="s">
        <v>252</v>
      </c>
      <c r="AP137" s="130" t="s">
        <v>252</v>
      </c>
      <c r="AQ137" s="131">
        <v>426597</v>
      </c>
      <c r="AR137" s="132">
        <v>81053</v>
      </c>
      <c r="AS137" s="132">
        <v>507650</v>
      </c>
      <c r="AT137" s="132">
        <v>426597</v>
      </c>
      <c r="AU137" s="132">
        <v>507650</v>
      </c>
      <c r="AV137" s="133">
        <f t="shared" si="83"/>
        <v>470323</v>
      </c>
      <c r="AW137" s="133">
        <f t="shared" si="84"/>
        <v>470323</v>
      </c>
      <c r="AX137" s="133" t="str">
        <f t="shared" si="85"/>
        <v/>
      </c>
      <c r="AY137" s="134">
        <v>1.0500000000000001E-2</v>
      </c>
      <c r="AZ137" s="5"/>
      <c r="BA137" s="7"/>
      <c r="BB137" s="7"/>
    </row>
    <row r="138" spans="1:54" ht="90">
      <c r="A138" s="105" t="s">
        <v>181</v>
      </c>
      <c r="B138" s="105" t="s">
        <v>241</v>
      </c>
      <c r="C138" s="105">
        <v>90101603</v>
      </c>
      <c r="D138" s="105" t="s">
        <v>665</v>
      </c>
      <c r="E138" s="106" t="s">
        <v>666</v>
      </c>
      <c r="F138" s="107" t="s">
        <v>270</v>
      </c>
      <c r="G138" s="108">
        <v>1</v>
      </c>
      <c r="H138" s="107" t="s">
        <v>186</v>
      </c>
      <c r="I138" s="109" t="s">
        <v>187</v>
      </c>
      <c r="J138" s="110">
        <v>46119</v>
      </c>
      <c r="K138" s="111" t="s">
        <v>389</v>
      </c>
      <c r="L138" s="112" t="s">
        <v>194</v>
      </c>
      <c r="M138" s="110" t="s">
        <v>300</v>
      </c>
      <c r="N138" s="113">
        <v>766800</v>
      </c>
      <c r="O138" s="113" t="s">
        <v>273</v>
      </c>
      <c r="P138" s="113" t="s">
        <v>274</v>
      </c>
      <c r="Q138" s="114">
        <f>IF(O138="IVA Incluido",(N138/1.19),N138)</f>
        <v>766800</v>
      </c>
      <c r="R138" s="115">
        <f>IF(P138="Si tiene IVA",Q138*19%,0)</f>
        <v>0</v>
      </c>
      <c r="S138" s="115">
        <f t="shared" ref="S138:S153" si="86">Q138+R138</f>
        <v>766800</v>
      </c>
      <c r="T138" s="115">
        <f>IF(B138="","",(N138*G138))</f>
        <v>766800</v>
      </c>
      <c r="U138" s="115">
        <f>IF(B138="","",(S138*G138))</f>
        <v>766800</v>
      </c>
      <c r="V138" s="116" t="s">
        <v>187</v>
      </c>
      <c r="W138" s="117">
        <v>46094</v>
      </c>
      <c r="X138" s="118" t="s">
        <v>277</v>
      </c>
      <c r="Y138" s="119" t="s">
        <v>194</v>
      </c>
      <c r="Z138" s="120" t="s">
        <v>278</v>
      </c>
      <c r="AA138" s="121">
        <v>1282500</v>
      </c>
      <c r="AB138" s="121" t="s">
        <v>273</v>
      </c>
      <c r="AC138" s="121" t="s">
        <v>274</v>
      </c>
      <c r="AD138" s="122">
        <f>IF(AB138="IVA Incluido",(AA138/1.19),AA138)</f>
        <v>1282500</v>
      </c>
      <c r="AE138" s="123">
        <f>IF(AC138="Si tiene IVA",AD138*19%,0)</f>
        <v>0</v>
      </c>
      <c r="AF138" s="123">
        <f t="shared" ref="AF138:AF153" si="87">AD138+AE138</f>
        <v>1282500</v>
      </c>
      <c r="AG138" s="123">
        <f>IF(O138="","",(AA138*G138))</f>
        <v>1282500</v>
      </c>
      <c r="AH138" s="123">
        <f>IF(O138="","",(AF138*G138))</f>
        <v>1282500</v>
      </c>
      <c r="AI138" s="124" t="s">
        <v>667</v>
      </c>
      <c r="AJ138" s="125"/>
      <c r="AK138" s="126"/>
      <c r="AL138" s="127" t="s">
        <v>194</v>
      </c>
      <c r="AM138" s="128" t="s">
        <v>668</v>
      </c>
      <c r="AN138" s="129">
        <v>1200000</v>
      </c>
      <c r="AO138" s="129" t="s">
        <v>198</v>
      </c>
      <c r="AP138" s="130" t="s">
        <v>192</v>
      </c>
      <c r="AQ138" s="131">
        <f>IF(AO138="IVA Incluido",(AN138/1.19),AN138)</f>
        <v>1200000</v>
      </c>
      <c r="AR138" s="132">
        <f t="shared" ref="AR138:AR153" si="88">IF(AP138="Si tiene IVA",AQ138*19%,0)</f>
        <v>228000</v>
      </c>
      <c r="AS138" s="132">
        <f t="shared" ref="AS138:AS153" si="89">AQ138+AR138</f>
        <v>1428000</v>
      </c>
      <c r="AT138" s="132">
        <f t="shared" ref="AT138:AT153" si="90">IF(AB138="","",(AN138*G138))</f>
        <v>1200000</v>
      </c>
      <c r="AU138" s="132">
        <f t="shared" ref="AU138:AU153" si="91">IF(AB138="","",(AS138*G138))</f>
        <v>1428000</v>
      </c>
      <c r="AV138" s="133">
        <f t="shared" si="83"/>
        <v>1159100</v>
      </c>
      <c r="AW138" s="133">
        <f t="shared" si="84"/>
        <v>1159100</v>
      </c>
      <c r="AX138" s="133">
        <f t="shared" si="85"/>
        <v>347444</v>
      </c>
      <c r="AY138" s="134">
        <f t="shared" ref="AY138:AY153" si="92">IF(N138="","",(AX138/AW138))</f>
        <v>0.29975325683720128</v>
      </c>
      <c r="AZ138" s="5" t="s">
        <v>669</v>
      </c>
      <c r="BA138" s="7">
        <f t="shared" ref="BA138:BA153" si="93">COUNTA(M138,Z138,AM138)</f>
        <v>3</v>
      </c>
      <c r="BB138" s="7" t="s">
        <v>558</v>
      </c>
    </row>
    <row r="139" spans="1:54" ht="90">
      <c r="A139" s="105" t="s">
        <v>181</v>
      </c>
      <c r="B139" s="105" t="s">
        <v>241</v>
      </c>
      <c r="C139" s="105">
        <v>90101603</v>
      </c>
      <c r="D139" s="105" t="s">
        <v>670</v>
      </c>
      <c r="E139" s="106" t="s">
        <v>671</v>
      </c>
      <c r="F139" s="107" t="s">
        <v>270</v>
      </c>
      <c r="G139" s="108">
        <v>1</v>
      </c>
      <c r="H139" s="107" t="s">
        <v>186</v>
      </c>
      <c r="I139" s="109" t="s">
        <v>187</v>
      </c>
      <c r="J139" s="110">
        <v>46134</v>
      </c>
      <c r="K139" s="111" t="s">
        <v>672</v>
      </c>
      <c r="L139" s="112" t="s">
        <v>194</v>
      </c>
      <c r="M139" s="110" t="s">
        <v>278</v>
      </c>
      <c r="N139" s="113">
        <v>641250</v>
      </c>
      <c r="O139" s="113" t="s">
        <v>198</v>
      </c>
      <c r="P139" s="113" t="s">
        <v>274</v>
      </c>
      <c r="Q139" s="114">
        <f>IF(O139="IVA Incluido",(N139/1.19),IF(O139="Ipoconsumo Incluido",(N139/1.08),N139))</f>
        <v>641250</v>
      </c>
      <c r="R139" s="115">
        <f>IF(P139="Si tiene IVA",Q139*19%,IF(P139="Si tiene IPOCONSUMO",Q139*8%,0))</f>
        <v>51300</v>
      </c>
      <c r="S139" s="115">
        <f t="shared" si="86"/>
        <v>692550</v>
      </c>
      <c r="T139" s="115">
        <f>IF(R139="IVA Incluido",(Q139/1.19),IF(R139="Ipoconsumo Incluido",(Q139/1.08),Q139))</f>
        <v>641250</v>
      </c>
      <c r="U139" s="115">
        <f>Q139+R139</f>
        <v>692550</v>
      </c>
      <c r="V139" s="116" t="s">
        <v>187</v>
      </c>
      <c r="W139" s="117">
        <v>46134</v>
      </c>
      <c r="X139" s="118" t="s">
        <v>389</v>
      </c>
      <c r="Y139" s="119" t="s">
        <v>194</v>
      </c>
      <c r="Z139" s="120" t="s">
        <v>300</v>
      </c>
      <c r="AA139" s="121">
        <v>588000</v>
      </c>
      <c r="AB139" s="121" t="s">
        <v>673</v>
      </c>
      <c r="AC139" s="121" t="s">
        <v>274</v>
      </c>
      <c r="AD139" s="122">
        <f>IF(AB139="IVA Incluido",(AA139/1.19),IF(AB139="Ipoconsumo Incluido",(AA139/1.08),AA139))</f>
        <v>544444.44444444438</v>
      </c>
      <c r="AE139" s="123">
        <f>IF(AC139="Si tiene IVA",AD139*19%,IF(AC139="Si tiene IPOCONSUMO",AD139*8%,0))</f>
        <v>43555.555555555555</v>
      </c>
      <c r="AF139" s="123">
        <f t="shared" si="87"/>
        <v>587999.99999999988</v>
      </c>
      <c r="AG139" s="123">
        <f>IF(AE139="IVA Incluido",(AD139/1.19),IF(AE139="Ipoconsumo Incluido",(AD139/1.08),AD139))</f>
        <v>544444.44444444438</v>
      </c>
      <c r="AH139" s="123">
        <f>AD139+AE139</f>
        <v>587999.99999999988</v>
      </c>
      <c r="AI139" s="124"/>
      <c r="AJ139" s="125"/>
      <c r="AK139" s="126"/>
      <c r="AL139" s="127"/>
      <c r="AM139" s="128"/>
      <c r="AN139" s="129"/>
      <c r="AO139" s="129"/>
      <c r="AP139" s="130"/>
      <c r="AQ139" s="131"/>
      <c r="AR139" s="132">
        <f t="shared" si="88"/>
        <v>0</v>
      </c>
      <c r="AS139" s="132">
        <f t="shared" si="89"/>
        <v>0</v>
      </c>
      <c r="AT139" s="132">
        <f t="shared" si="90"/>
        <v>0</v>
      </c>
      <c r="AU139" s="132">
        <f t="shared" si="91"/>
        <v>0</v>
      </c>
      <c r="AV139" s="133">
        <f t="shared" si="83"/>
        <v>426850</v>
      </c>
      <c r="AW139" s="133">
        <f t="shared" si="84"/>
        <v>426850</v>
      </c>
      <c r="AX139" s="133">
        <f t="shared" si="85"/>
        <v>373341</v>
      </c>
      <c r="AY139" s="134">
        <f t="shared" si="92"/>
        <v>0.8746421459529109</v>
      </c>
      <c r="AZ139" s="5" t="s">
        <v>669</v>
      </c>
      <c r="BA139" s="7">
        <f t="shared" si="93"/>
        <v>2</v>
      </c>
      <c r="BB139" s="7" t="s">
        <v>230</v>
      </c>
    </row>
    <row r="140" spans="1:54" ht="40.5">
      <c r="A140" s="105" t="s">
        <v>181</v>
      </c>
      <c r="B140" s="105" t="s">
        <v>259</v>
      </c>
      <c r="C140" s="105">
        <v>60141001</v>
      </c>
      <c r="D140" s="105" t="s">
        <v>674</v>
      </c>
      <c r="E140" s="106" t="s">
        <v>675</v>
      </c>
      <c r="F140" s="107" t="s">
        <v>185</v>
      </c>
      <c r="G140" s="108">
        <v>1</v>
      </c>
      <c r="H140" s="107" t="s">
        <v>186</v>
      </c>
      <c r="I140" s="109" t="s">
        <v>200</v>
      </c>
      <c r="J140" s="110">
        <v>46071</v>
      </c>
      <c r="K140" s="111" t="s">
        <v>266</v>
      </c>
      <c r="L140" s="112" t="s">
        <v>194</v>
      </c>
      <c r="M140" s="110" t="s">
        <v>514</v>
      </c>
      <c r="N140" s="113">
        <v>13800</v>
      </c>
      <c r="O140" s="113" t="s">
        <v>191</v>
      </c>
      <c r="P140" s="113" t="s">
        <v>192</v>
      </c>
      <c r="Q140" s="114">
        <f>IF(O140="IVA Incluido",(N140/1.19),N140)</f>
        <v>11596.638655462186</v>
      </c>
      <c r="R140" s="115">
        <f t="shared" ref="R140:R153" si="94">IF(P140="Si tiene IVA",Q140*19%,0)</f>
        <v>2203.3613445378155</v>
      </c>
      <c r="S140" s="115">
        <f t="shared" si="86"/>
        <v>13800.000000000002</v>
      </c>
      <c r="T140" s="115">
        <f t="shared" ref="T140:T153" si="95">IF(B140="","",(N140*G140))</f>
        <v>13800</v>
      </c>
      <c r="U140" s="115">
        <f t="shared" ref="U140:U153" si="96">IF(B140="","",(S140*G140))</f>
        <v>13800.000000000002</v>
      </c>
      <c r="V140" s="116" t="s">
        <v>200</v>
      </c>
      <c r="W140" s="117">
        <v>46071</v>
      </c>
      <c r="X140" s="118" t="s">
        <v>490</v>
      </c>
      <c r="Y140" s="119" t="s">
        <v>194</v>
      </c>
      <c r="Z140" s="120" t="s">
        <v>583</v>
      </c>
      <c r="AA140" s="121">
        <v>10504</v>
      </c>
      <c r="AB140" s="121" t="s">
        <v>198</v>
      </c>
      <c r="AC140" s="121" t="s">
        <v>192</v>
      </c>
      <c r="AD140" s="122">
        <f t="shared" ref="AD140:AD153" si="97">IF(AB140="IVA Incluido",(AA140/1.19),AA140)</f>
        <v>10504</v>
      </c>
      <c r="AE140" s="123">
        <f t="shared" ref="AE140:AE153" si="98">IF(AC140="Si tiene IVA",AD140*19%,0)</f>
        <v>1995.76</v>
      </c>
      <c r="AF140" s="123">
        <f t="shared" si="87"/>
        <v>12499.76</v>
      </c>
      <c r="AG140" s="123">
        <f t="shared" ref="AG140:AG153" si="99">IF(O140="","",(AA140*G140))</f>
        <v>10504</v>
      </c>
      <c r="AH140" s="123">
        <f t="shared" ref="AH140:AH153" si="100">IF(O140="","",(AF140*G140))</f>
        <v>12499.76</v>
      </c>
      <c r="AI140" s="124" t="s">
        <v>200</v>
      </c>
      <c r="AJ140" s="125">
        <v>46071</v>
      </c>
      <c r="AK140" s="126" t="s">
        <v>264</v>
      </c>
      <c r="AL140" s="127" t="s">
        <v>194</v>
      </c>
      <c r="AM140" s="128" t="s">
        <v>265</v>
      </c>
      <c r="AN140" s="129">
        <v>8926</v>
      </c>
      <c r="AO140" s="129" t="s">
        <v>198</v>
      </c>
      <c r="AP140" s="130" t="s">
        <v>192</v>
      </c>
      <c r="AQ140" s="131">
        <f t="shared" ref="AQ140:AQ153" si="101">IF(AO140="IVA Incluido",(AN140/1.19),AN140)</f>
        <v>8926</v>
      </c>
      <c r="AR140" s="132">
        <f t="shared" si="88"/>
        <v>1695.94</v>
      </c>
      <c r="AS140" s="132">
        <f t="shared" si="89"/>
        <v>10621.94</v>
      </c>
      <c r="AT140" s="132">
        <f t="shared" si="90"/>
        <v>8926</v>
      </c>
      <c r="AU140" s="132">
        <f t="shared" si="91"/>
        <v>10621.94</v>
      </c>
      <c r="AV140" s="133">
        <f t="shared" si="83"/>
        <v>12307</v>
      </c>
      <c r="AW140" s="133">
        <f t="shared" si="84"/>
        <v>12307</v>
      </c>
      <c r="AX140" s="133">
        <f t="shared" si="85"/>
        <v>1598</v>
      </c>
      <c r="AY140" s="134">
        <f t="shared" si="92"/>
        <v>0.12984480377021207</v>
      </c>
      <c r="AZ140" s="5"/>
      <c r="BA140" s="7">
        <f t="shared" si="93"/>
        <v>3</v>
      </c>
      <c r="BB140" s="7"/>
    </row>
    <row r="141" spans="1:54" ht="60">
      <c r="A141" s="105" t="s">
        <v>181</v>
      </c>
      <c r="B141" s="105" t="s">
        <v>182</v>
      </c>
      <c r="C141" s="105">
        <v>53102516</v>
      </c>
      <c r="D141" s="105" t="s">
        <v>676</v>
      </c>
      <c r="E141" s="106" t="s">
        <v>677</v>
      </c>
      <c r="F141" s="107" t="s">
        <v>185</v>
      </c>
      <c r="G141" s="108">
        <v>1</v>
      </c>
      <c r="H141" s="107" t="s">
        <v>186</v>
      </c>
      <c r="I141" s="109" t="s">
        <v>234</v>
      </c>
      <c r="J141" s="110">
        <v>46070</v>
      </c>
      <c r="K141" s="111" t="s">
        <v>201</v>
      </c>
      <c r="L141" s="112" t="s">
        <v>194</v>
      </c>
      <c r="M141" s="110" t="s">
        <v>197</v>
      </c>
      <c r="N141" s="113">
        <v>28000</v>
      </c>
      <c r="O141" s="113" t="s">
        <v>198</v>
      </c>
      <c r="P141" s="113" t="s">
        <v>192</v>
      </c>
      <c r="Q141" s="114">
        <f>IF(O141="IVA Incluido",(N141/1.19),N141)</f>
        <v>28000</v>
      </c>
      <c r="R141" s="115">
        <f t="shared" si="94"/>
        <v>5320</v>
      </c>
      <c r="S141" s="115">
        <f t="shared" si="86"/>
        <v>33320</v>
      </c>
      <c r="T141" s="115">
        <f t="shared" si="95"/>
        <v>28000</v>
      </c>
      <c r="U141" s="115">
        <f t="shared" si="96"/>
        <v>33320</v>
      </c>
      <c r="V141" s="116" t="s">
        <v>234</v>
      </c>
      <c r="W141" s="117">
        <v>46071</v>
      </c>
      <c r="X141" s="118" t="s">
        <v>208</v>
      </c>
      <c r="Y141" s="119" t="s">
        <v>194</v>
      </c>
      <c r="Z141" s="120" t="s">
        <v>205</v>
      </c>
      <c r="AA141" s="121">
        <v>25000</v>
      </c>
      <c r="AB141" s="121" t="s">
        <v>198</v>
      </c>
      <c r="AC141" s="121" t="s">
        <v>218</v>
      </c>
      <c r="AD141" s="122">
        <f t="shared" si="97"/>
        <v>25000</v>
      </c>
      <c r="AE141" s="123">
        <f t="shared" si="98"/>
        <v>0</v>
      </c>
      <c r="AF141" s="123">
        <f t="shared" si="87"/>
        <v>25000</v>
      </c>
      <c r="AG141" s="123">
        <f t="shared" si="99"/>
        <v>25000</v>
      </c>
      <c r="AH141" s="123">
        <f t="shared" si="100"/>
        <v>25000</v>
      </c>
      <c r="AI141" s="124" t="s">
        <v>234</v>
      </c>
      <c r="AJ141" s="125">
        <v>46071</v>
      </c>
      <c r="AK141" s="126" t="s">
        <v>216</v>
      </c>
      <c r="AL141" s="127" t="s">
        <v>194</v>
      </c>
      <c r="AM141" s="128" t="s">
        <v>217</v>
      </c>
      <c r="AN141" s="129">
        <v>25000</v>
      </c>
      <c r="AO141" s="129" t="s">
        <v>198</v>
      </c>
      <c r="AP141" s="130" t="s">
        <v>218</v>
      </c>
      <c r="AQ141" s="131">
        <f t="shared" si="101"/>
        <v>25000</v>
      </c>
      <c r="AR141" s="132">
        <f t="shared" si="88"/>
        <v>0</v>
      </c>
      <c r="AS141" s="132">
        <f t="shared" si="89"/>
        <v>25000</v>
      </c>
      <c r="AT141" s="132">
        <f t="shared" si="90"/>
        <v>25000</v>
      </c>
      <c r="AU141" s="132">
        <f t="shared" si="91"/>
        <v>25000</v>
      </c>
      <c r="AV141" s="133">
        <f t="shared" si="83"/>
        <v>27773</v>
      </c>
      <c r="AW141" s="133">
        <f t="shared" si="84"/>
        <v>27773</v>
      </c>
      <c r="AX141" s="133">
        <f t="shared" si="85"/>
        <v>4804</v>
      </c>
      <c r="AY141" s="134">
        <f t="shared" si="92"/>
        <v>0.17297375148525546</v>
      </c>
      <c r="AZ141" s="5"/>
      <c r="BA141" s="7">
        <f t="shared" si="93"/>
        <v>3</v>
      </c>
      <c r="BB141" s="7" t="s">
        <v>238</v>
      </c>
    </row>
    <row r="142" spans="1:54" ht="54">
      <c r="A142" s="105" t="s">
        <v>181</v>
      </c>
      <c r="B142" s="105" t="s">
        <v>182</v>
      </c>
      <c r="C142" s="105">
        <v>53102516</v>
      </c>
      <c r="D142" s="105" t="s">
        <v>678</v>
      </c>
      <c r="E142" s="106" t="s">
        <v>679</v>
      </c>
      <c r="F142" s="107" t="s">
        <v>185</v>
      </c>
      <c r="G142" s="108">
        <v>1</v>
      </c>
      <c r="H142" s="107" t="s">
        <v>186</v>
      </c>
      <c r="I142" s="109" t="s">
        <v>234</v>
      </c>
      <c r="J142" s="110">
        <v>46072</v>
      </c>
      <c r="K142" s="111" t="s">
        <v>235</v>
      </c>
      <c r="L142" s="112" t="s">
        <v>194</v>
      </c>
      <c r="M142" s="110" t="s">
        <v>212</v>
      </c>
      <c r="N142" s="113">
        <v>18000</v>
      </c>
      <c r="O142" s="113" t="s">
        <v>198</v>
      </c>
      <c r="P142" s="113" t="s">
        <v>192</v>
      </c>
      <c r="Q142" s="114">
        <f>IF(O142="IVA Incluido",(N142/1.19),N142)</f>
        <v>18000</v>
      </c>
      <c r="R142" s="115">
        <f t="shared" si="94"/>
        <v>3420</v>
      </c>
      <c r="S142" s="115">
        <f t="shared" si="86"/>
        <v>21420</v>
      </c>
      <c r="T142" s="115">
        <f t="shared" si="95"/>
        <v>18000</v>
      </c>
      <c r="U142" s="115">
        <f t="shared" si="96"/>
        <v>21420</v>
      </c>
      <c r="V142" s="116" t="s">
        <v>234</v>
      </c>
      <c r="W142" s="117">
        <v>46072</v>
      </c>
      <c r="X142" s="118" t="s">
        <v>208</v>
      </c>
      <c r="Y142" s="119" t="s">
        <v>194</v>
      </c>
      <c r="Z142" s="120" t="s">
        <v>205</v>
      </c>
      <c r="AA142" s="121">
        <v>20500</v>
      </c>
      <c r="AB142" s="121" t="s">
        <v>191</v>
      </c>
      <c r="AC142" s="121" t="s">
        <v>192</v>
      </c>
      <c r="AD142" s="122">
        <f t="shared" si="97"/>
        <v>17226.89075630252</v>
      </c>
      <c r="AE142" s="123">
        <f t="shared" si="98"/>
        <v>3273.1092436974791</v>
      </c>
      <c r="AF142" s="123">
        <f t="shared" si="87"/>
        <v>20500</v>
      </c>
      <c r="AG142" s="123">
        <f t="shared" si="99"/>
        <v>20500</v>
      </c>
      <c r="AH142" s="123">
        <f t="shared" si="100"/>
        <v>20500</v>
      </c>
      <c r="AI142" s="124" t="s">
        <v>234</v>
      </c>
      <c r="AJ142" s="125">
        <v>46072</v>
      </c>
      <c r="AK142" s="126" t="s">
        <v>216</v>
      </c>
      <c r="AL142" s="127" t="s">
        <v>194</v>
      </c>
      <c r="AM142" s="128" t="s">
        <v>217</v>
      </c>
      <c r="AN142" s="129">
        <v>25000</v>
      </c>
      <c r="AO142" s="129" t="s">
        <v>198</v>
      </c>
      <c r="AP142" s="130" t="s">
        <v>218</v>
      </c>
      <c r="AQ142" s="131">
        <f t="shared" si="101"/>
        <v>25000</v>
      </c>
      <c r="AR142" s="132">
        <f t="shared" si="88"/>
        <v>0</v>
      </c>
      <c r="AS142" s="132">
        <f t="shared" si="89"/>
        <v>25000</v>
      </c>
      <c r="AT142" s="132">
        <f t="shared" si="90"/>
        <v>25000</v>
      </c>
      <c r="AU142" s="132">
        <f t="shared" si="91"/>
        <v>25000</v>
      </c>
      <c r="AV142" s="133">
        <f t="shared" si="83"/>
        <v>22307</v>
      </c>
      <c r="AW142" s="133">
        <f t="shared" si="84"/>
        <v>22307</v>
      </c>
      <c r="AX142" s="133">
        <f t="shared" si="85"/>
        <v>2377</v>
      </c>
      <c r="AY142" s="134">
        <f t="shared" si="92"/>
        <v>0.10655847940108486</v>
      </c>
      <c r="AZ142" s="5"/>
      <c r="BA142" s="7">
        <f t="shared" si="93"/>
        <v>3</v>
      </c>
      <c r="BB142" s="7" t="s">
        <v>230</v>
      </c>
    </row>
    <row r="143" spans="1:54" ht="162">
      <c r="A143" s="105" t="s">
        <v>181</v>
      </c>
      <c r="B143" s="105" t="s">
        <v>182</v>
      </c>
      <c r="C143" s="105">
        <v>53102516</v>
      </c>
      <c r="D143" s="105" t="s">
        <v>680</v>
      </c>
      <c r="E143" s="106" t="s">
        <v>681</v>
      </c>
      <c r="F143" s="107" t="s">
        <v>185</v>
      </c>
      <c r="G143" s="108">
        <v>1</v>
      </c>
      <c r="H143" s="107" t="s">
        <v>186</v>
      </c>
      <c r="I143" s="109" t="s">
        <v>187</v>
      </c>
      <c r="J143" s="110">
        <v>46153</v>
      </c>
      <c r="K143" s="111" t="s">
        <v>236</v>
      </c>
      <c r="L143" s="112" t="s">
        <v>189</v>
      </c>
      <c r="M143" s="110" t="s">
        <v>237</v>
      </c>
      <c r="N143" s="113">
        <v>15000</v>
      </c>
      <c r="O143" s="113" t="s">
        <v>198</v>
      </c>
      <c r="P143" s="113" t="s">
        <v>218</v>
      </c>
      <c r="Q143" s="114">
        <v>15000</v>
      </c>
      <c r="R143" s="115">
        <f t="shared" si="94"/>
        <v>0</v>
      </c>
      <c r="S143" s="115">
        <f t="shared" si="86"/>
        <v>15000</v>
      </c>
      <c r="T143" s="115">
        <f t="shared" si="95"/>
        <v>15000</v>
      </c>
      <c r="U143" s="115">
        <f t="shared" si="96"/>
        <v>15000</v>
      </c>
      <c r="V143" s="116" t="s">
        <v>682</v>
      </c>
      <c r="W143" s="117">
        <v>46147</v>
      </c>
      <c r="X143" s="118" t="s">
        <v>235</v>
      </c>
      <c r="Y143" s="119" t="s">
        <v>189</v>
      </c>
      <c r="Z143" s="120" t="s">
        <v>212</v>
      </c>
      <c r="AA143" s="121">
        <v>15000</v>
      </c>
      <c r="AB143" s="121" t="s">
        <v>198</v>
      </c>
      <c r="AC143" s="121" t="s">
        <v>192</v>
      </c>
      <c r="AD143" s="122">
        <f t="shared" si="97"/>
        <v>15000</v>
      </c>
      <c r="AE143" s="123">
        <f t="shared" si="98"/>
        <v>2850</v>
      </c>
      <c r="AF143" s="123">
        <f t="shared" si="87"/>
        <v>17850</v>
      </c>
      <c r="AG143" s="123">
        <f t="shared" si="99"/>
        <v>15000</v>
      </c>
      <c r="AH143" s="123">
        <f t="shared" si="100"/>
        <v>17850</v>
      </c>
      <c r="AI143" s="124" t="s">
        <v>200</v>
      </c>
      <c r="AJ143" s="125">
        <v>46147</v>
      </c>
      <c r="AK143" s="126" t="s">
        <v>188</v>
      </c>
      <c r="AL143" s="127" t="s">
        <v>189</v>
      </c>
      <c r="AM143" s="128" t="s">
        <v>188</v>
      </c>
      <c r="AN143" s="129">
        <v>18500</v>
      </c>
      <c r="AO143" s="129" t="s">
        <v>218</v>
      </c>
      <c r="AP143" s="130" t="s">
        <v>218</v>
      </c>
      <c r="AQ143" s="131">
        <f t="shared" si="101"/>
        <v>18500</v>
      </c>
      <c r="AR143" s="132">
        <f t="shared" si="88"/>
        <v>0</v>
      </c>
      <c r="AS143" s="132">
        <f t="shared" si="89"/>
        <v>18500</v>
      </c>
      <c r="AT143" s="132">
        <f t="shared" si="90"/>
        <v>18500</v>
      </c>
      <c r="AU143" s="132">
        <f t="shared" si="91"/>
        <v>18500</v>
      </c>
      <c r="AV143" s="133">
        <f t="shared" si="83"/>
        <v>17117</v>
      </c>
      <c r="AW143" s="133">
        <f t="shared" si="84"/>
        <v>17117</v>
      </c>
      <c r="AX143" s="133">
        <f t="shared" si="85"/>
        <v>1862</v>
      </c>
      <c r="AY143" s="134">
        <f t="shared" si="92"/>
        <v>0.10878074428930304</v>
      </c>
      <c r="AZ143" s="5"/>
      <c r="BA143" s="7">
        <f t="shared" si="93"/>
        <v>3</v>
      </c>
      <c r="BB143" s="7" t="s">
        <v>683</v>
      </c>
    </row>
    <row r="144" spans="1:54" ht="81">
      <c r="A144" s="105" t="s">
        <v>181</v>
      </c>
      <c r="B144" s="105" t="s">
        <v>259</v>
      </c>
      <c r="C144" s="105">
        <v>60121226</v>
      </c>
      <c r="D144" s="105" t="s">
        <v>684</v>
      </c>
      <c r="E144" s="106" t="s">
        <v>685</v>
      </c>
      <c r="F144" s="107" t="s">
        <v>185</v>
      </c>
      <c r="G144" s="108">
        <v>1</v>
      </c>
      <c r="H144" s="107" t="s">
        <v>186</v>
      </c>
      <c r="I144" s="109" t="s">
        <v>200</v>
      </c>
      <c r="J144" s="110">
        <v>46072</v>
      </c>
      <c r="K144" s="111" t="s">
        <v>686</v>
      </c>
      <c r="L144" s="112" t="s">
        <v>194</v>
      </c>
      <c r="M144" s="110" t="s">
        <v>587</v>
      </c>
      <c r="N144" s="113">
        <v>19900</v>
      </c>
      <c r="O144" s="113" t="s">
        <v>191</v>
      </c>
      <c r="P144" s="113" t="s">
        <v>192</v>
      </c>
      <c r="Q144" s="114">
        <f t="shared" ref="Q144:Q153" si="102">IF(O144="IVA Incluido",(N144/1.19),N144)</f>
        <v>16722.689075630253</v>
      </c>
      <c r="R144" s="115">
        <f t="shared" si="94"/>
        <v>3177.3109243697481</v>
      </c>
      <c r="S144" s="115">
        <f t="shared" si="86"/>
        <v>19900</v>
      </c>
      <c r="T144" s="115">
        <f t="shared" si="95"/>
        <v>19900</v>
      </c>
      <c r="U144" s="115">
        <f t="shared" si="96"/>
        <v>19900</v>
      </c>
      <c r="V144" s="116" t="s">
        <v>200</v>
      </c>
      <c r="W144" s="117">
        <v>46072</v>
      </c>
      <c r="X144" s="118" t="s">
        <v>264</v>
      </c>
      <c r="Y144" s="119" t="s">
        <v>194</v>
      </c>
      <c r="Z144" s="120" t="s">
        <v>265</v>
      </c>
      <c r="AA144" s="121">
        <v>18200</v>
      </c>
      <c r="AB144" s="121" t="s">
        <v>198</v>
      </c>
      <c r="AC144" s="121" t="s">
        <v>192</v>
      </c>
      <c r="AD144" s="122">
        <f t="shared" si="97"/>
        <v>18200</v>
      </c>
      <c r="AE144" s="123">
        <f t="shared" si="98"/>
        <v>3458</v>
      </c>
      <c r="AF144" s="123">
        <f t="shared" si="87"/>
        <v>21658</v>
      </c>
      <c r="AG144" s="123">
        <f t="shared" si="99"/>
        <v>18200</v>
      </c>
      <c r="AH144" s="123">
        <f t="shared" si="100"/>
        <v>21658</v>
      </c>
      <c r="AI144" s="124" t="s">
        <v>200</v>
      </c>
      <c r="AJ144" s="125">
        <v>46072</v>
      </c>
      <c r="AK144" s="126" t="s">
        <v>687</v>
      </c>
      <c r="AL144" s="127" t="s">
        <v>194</v>
      </c>
      <c r="AM144" s="128" t="s">
        <v>636</v>
      </c>
      <c r="AN144" s="129">
        <v>17500</v>
      </c>
      <c r="AO144" s="129" t="s">
        <v>191</v>
      </c>
      <c r="AP144" s="130" t="s">
        <v>192</v>
      </c>
      <c r="AQ144" s="131">
        <f t="shared" si="101"/>
        <v>14705.882352941177</v>
      </c>
      <c r="AR144" s="132">
        <f t="shared" si="88"/>
        <v>2794.1176470588234</v>
      </c>
      <c r="AS144" s="132">
        <f t="shared" si="89"/>
        <v>17500</v>
      </c>
      <c r="AT144" s="132">
        <f t="shared" si="90"/>
        <v>17500</v>
      </c>
      <c r="AU144" s="132">
        <f t="shared" si="91"/>
        <v>17500</v>
      </c>
      <c r="AV144" s="133">
        <f t="shared" si="83"/>
        <v>19686</v>
      </c>
      <c r="AW144" s="133">
        <f t="shared" si="84"/>
        <v>19686</v>
      </c>
      <c r="AX144" s="133">
        <f t="shared" si="85"/>
        <v>2087</v>
      </c>
      <c r="AY144" s="134">
        <f t="shared" si="92"/>
        <v>0.106014426495987</v>
      </c>
      <c r="AZ144" s="5"/>
      <c r="BA144" s="7">
        <f t="shared" si="93"/>
        <v>3</v>
      </c>
      <c r="BB144" s="7"/>
    </row>
    <row r="145" spans="1:54" ht="81">
      <c r="A145" s="105" t="s">
        <v>181</v>
      </c>
      <c r="B145" s="105" t="s">
        <v>259</v>
      </c>
      <c r="C145" s="105">
        <v>60121226</v>
      </c>
      <c r="D145" s="105" t="s">
        <v>688</v>
      </c>
      <c r="E145" s="106" t="s">
        <v>689</v>
      </c>
      <c r="F145" s="107" t="s">
        <v>185</v>
      </c>
      <c r="G145" s="108">
        <v>1</v>
      </c>
      <c r="H145" s="107" t="s">
        <v>186</v>
      </c>
      <c r="I145" s="109" t="s">
        <v>200</v>
      </c>
      <c r="J145" s="110">
        <v>46072</v>
      </c>
      <c r="K145" s="111" t="s">
        <v>490</v>
      </c>
      <c r="L145" s="112" t="s">
        <v>194</v>
      </c>
      <c r="M145" s="110" t="s">
        <v>491</v>
      </c>
      <c r="N145" s="113">
        <v>18319</v>
      </c>
      <c r="O145" s="113" t="s">
        <v>198</v>
      </c>
      <c r="P145" s="113" t="s">
        <v>192</v>
      </c>
      <c r="Q145" s="114">
        <f t="shared" si="102"/>
        <v>18319</v>
      </c>
      <c r="R145" s="115">
        <f t="shared" si="94"/>
        <v>3480.61</v>
      </c>
      <c r="S145" s="115">
        <f t="shared" si="86"/>
        <v>21799.61</v>
      </c>
      <c r="T145" s="115">
        <f t="shared" si="95"/>
        <v>18319</v>
      </c>
      <c r="U145" s="115">
        <f t="shared" si="96"/>
        <v>21799.61</v>
      </c>
      <c r="V145" s="116" t="s">
        <v>200</v>
      </c>
      <c r="W145" s="117">
        <v>46072</v>
      </c>
      <c r="X145" s="118" t="s">
        <v>266</v>
      </c>
      <c r="Y145" s="119" t="s">
        <v>194</v>
      </c>
      <c r="Z145" s="120" t="s">
        <v>506</v>
      </c>
      <c r="AA145" s="121">
        <v>20400</v>
      </c>
      <c r="AB145" s="121" t="s">
        <v>191</v>
      </c>
      <c r="AC145" s="121" t="s">
        <v>192</v>
      </c>
      <c r="AD145" s="122">
        <f t="shared" si="97"/>
        <v>17142.857142857145</v>
      </c>
      <c r="AE145" s="123">
        <f t="shared" si="98"/>
        <v>3257.1428571428578</v>
      </c>
      <c r="AF145" s="123">
        <f t="shared" si="87"/>
        <v>20400.000000000004</v>
      </c>
      <c r="AG145" s="123">
        <f t="shared" si="99"/>
        <v>20400</v>
      </c>
      <c r="AH145" s="123">
        <f t="shared" si="100"/>
        <v>20400.000000000004</v>
      </c>
      <c r="AI145" s="124" t="s">
        <v>200</v>
      </c>
      <c r="AJ145" s="125">
        <v>46072</v>
      </c>
      <c r="AK145" s="126" t="s">
        <v>690</v>
      </c>
      <c r="AL145" s="127" t="s">
        <v>194</v>
      </c>
      <c r="AM145" s="128" t="s">
        <v>587</v>
      </c>
      <c r="AN145" s="129">
        <v>24900</v>
      </c>
      <c r="AO145" s="129" t="s">
        <v>191</v>
      </c>
      <c r="AP145" s="130" t="s">
        <v>192</v>
      </c>
      <c r="AQ145" s="131">
        <f t="shared" si="101"/>
        <v>20924.36974789916</v>
      </c>
      <c r="AR145" s="132">
        <f t="shared" si="88"/>
        <v>3975.6302521008406</v>
      </c>
      <c r="AS145" s="132">
        <f t="shared" si="89"/>
        <v>24900</v>
      </c>
      <c r="AT145" s="132">
        <f t="shared" si="90"/>
        <v>24900</v>
      </c>
      <c r="AU145" s="132">
        <f t="shared" si="91"/>
        <v>24900</v>
      </c>
      <c r="AV145" s="133">
        <f t="shared" si="83"/>
        <v>22367</v>
      </c>
      <c r="AW145" s="133">
        <f t="shared" si="84"/>
        <v>22367</v>
      </c>
      <c r="AX145" s="133">
        <f t="shared" si="85"/>
        <v>2303</v>
      </c>
      <c r="AY145" s="134">
        <f t="shared" si="92"/>
        <v>0.10296418831313989</v>
      </c>
      <c r="AZ145" s="5"/>
      <c r="BA145" s="7">
        <f t="shared" si="93"/>
        <v>3</v>
      </c>
      <c r="BB145" s="7"/>
    </row>
    <row r="146" spans="1:54" ht="94.5">
      <c r="A146" s="105" t="s">
        <v>181</v>
      </c>
      <c r="B146" s="105" t="s">
        <v>259</v>
      </c>
      <c r="C146" s="105"/>
      <c r="D146" s="105" t="s">
        <v>691</v>
      </c>
      <c r="E146" s="106" t="s">
        <v>692</v>
      </c>
      <c r="F146" s="107" t="s">
        <v>185</v>
      </c>
      <c r="G146" s="108">
        <v>1</v>
      </c>
      <c r="H146" s="107" t="s">
        <v>186</v>
      </c>
      <c r="I146" s="109" t="s">
        <v>200</v>
      </c>
      <c r="J146" s="110">
        <v>46072</v>
      </c>
      <c r="K146" s="111" t="s">
        <v>693</v>
      </c>
      <c r="L146" s="112" t="s">
        <v>194</v>
      </c>
      <c r="M146" s="110" t="s">
        <v>694</v>
      </c>
      <c r="N146" s="113">
        <v>14000</v>
      </c>
      <c r="O146" s="113" t="s">
        <v>191</v>
      </c>
      <c r="P146" s="113" t="s">
        <v>192</v>
      </c>
      <c r="Q146" s="114">
        <f t="shared" si="102"/>
        <v>11764.705882352942</v>
      </c>
      <c r="R146" s="115">
        <f t="shared" si="94"/>
        <v>2235.294117647059</v>
      </c>
      <c r="S146" s="115">
        <f t="shared" si="86"/>
        <v>14000.000000000002</v>
      </c>
      <c r="T146" s="115">
        <f t="shared" si="95"/>
        <v>14000</v>
      </c>
      <c r="U146" s="115">
        <f t="shared" si="96"/>
        <v>14000.000000000002</v>
      </c>
      <c r="V146" s="116" t="s">
        <v>200</v>
      </c>
      <c r="W146" s="117">
        <v>46072</v>
      </c>
      <c r="X146" s="118" t="s">
        <v>695</v>
      </c>
      <c r="Y146" s="119" t="s">
        <v>194</v>
      </c>
      <c r="Z146" s="120" t="s">
        <v>696</v>
      </c>
      <c r="AA146" s="121">
        <v>13600</v>
      </c>
      <c r="AB146" s="121" t="s">
        <v>191</v>
      </c>
      <c r="AC146" s="121" t="s">
        <v>192</v>
      </c>
      <c r="AD146" s="122">
        <f t="shared" si="97"/>
        <v>11428.571428571429</v>
      </c>
      <c r="AE146" s="123">
        <f t="shared" si="98"/>
        <v>2171.4285714285716</v>
      </c>
      <c r="AF146" s="123">
        <f t="shared" si="87"/>
        <v>13600</v>
      </c>
      <c r="AG146" s="123">
        <f t="shared" si="99"/>
        <v>13600</v>
      </c>
      <c r="AH146" s="123">
        <f t="shared" si="100"/>
        <v>13600</v>
      </c>
      <c r="AI146" s="124" t="s">
        <v>200</v>
      </c>
      <c r="AJ146" s="125">
        <v>46072</v>
      </c>
      <c r="AK146" s="126" t="s">
        <v>697</v>
      </c>
      <c r="AL146" s="127" t="s">
        <v>194</v>
      </c>
      <c r="AM146" s="128" t="s">
        <v>698</v>
      </c>
      <c r="AN146" s="129">
        <v>12000</v>
      </c>
      <c r="AO146" s="129" t="s">
        <v>191</v>
      </c>
      <c r="AP146" s="130" t="s">
        <v>192</v>
      </c>
      <c r="AQ146" s="131">
        <f t="shared" si="101"/>
        <v>10084.033613445379</v>
      </c>
      <c r="AR146" s="132">
        <f t="shared" si="88"/>
        <v>1915.966386554622</v>
      </c>
      <c r="AS146" s="132">
        <f t="shared" si="89"/>
        <v>12000.000000000002</v>
      </c>
      <c r="AT146" s="132">
        <f t="shared" si="90"/>
        <v>12000</v>
      </c>
      <c r="AU146" s="132">
        <f t="shared" si="91"/>
        <v>12000.000000000002</v>
      </c>
      <c r="AV146" s="133">
        <f t="shared" si="83"/>
        <v>13200</v>
      </c>
      <c r="AW146" s="133">
        <f t="shared" si="84"/>
        <v>13200</v>
      </c>
      <c r="AX146" s="133">
        <f t="shared" si="85"/>
        <v>1058</v>
      </c>
      <c r="AY146" s="134">
        <f t="shared" si="92"/>
        <v>8.0151515151515154E-2</v>
      </c>
      <c r="AZ146" s="5"/>
      <c r="BA146" s="7">
        <f t="shared" si="93"/>
        <v>3</v>
      </c>
      <c r="BB146" s="7"/>
    </row>
    <row r="147" spans="1:54" ht="67.5">
      <c r="A147" s="105" t="s">
        <v>181</v>
      </c>
      <c r="B147" s="105" t="s">
        <v>259</v>
      </c>
      <c r="C147" s="105"/>
      <c r="D147" s="105" t="s">
        <v>699</v>
      </c>
      <c r="E147" s="106" t="s">
        <v>700</v>
      </c>
      <c r="F147" s="107" t="s">
        <v>185</v>
      </c>
      <c r="G147" s="108">
        <v>1</v>
      </c>
      <c r="H147" s="107" t="s">
        <v>186</v>
      </c>
      <c r="I147" s="109" t="s">
        <v>200</v>
      </c>
      <c r="J147" s="110">
        <v>46072</v>
      </c>
      <c r="K147" s="111" t="s">
        <v>701</v>
      </c>
      <c r="L147" s="112" t="s">
        <v>194</v>
      </c>
      <c r="M147" s="110" t="s">
        <v>702</v>
      </c>
      <c r="N147" s="113">
        <v>11900</v>
      </c>
      <c r="O147" s="113" t="s">
        <v>191</v>
      </c>
      <c r="P147" s="113" t="s">
        <v>192</v>
      </c>
      <c r="Q147" s="114">
        <f t="shared" si="102"/>
        <v>10000</v>
      </c>
      <c r="R147" s="115">
        <f t="shared" si="94"/>
        <v>1900</v>
      </c>
      <c r="S147" s="115">
        <f t="shared" si="86"/>
        <v>11900</v>
      </c>
      <c r="T147" s="115">
        <f t="shared" si="95"/>
        <v>11900</v>
      </c>
      <c r="U147" s="115">
        <f t="shared" si="96"/>
        <v>11900</v>
      </c>
      <c r="V147" s="116" t="s">
        <v>200</v>
      </c>
      <c r="W147" s="117">
        <v>46072</v>
      </c>
      <c r="X147" s="118" t="s">
        <v>703</v>
      </c>
      <c r="Y147" s="119" t="s">
        <v>194</v>
      </c>
      <c r="Z147" s="120" t="s">
        <v>704</v>
      </c>
      <c r="AA147" s="121">
        <v>13800</v>
      </c>
      <c r="AB147" s="121" t="s">
        <v>191</v>
      </c>
      <c r="AC147" s="121" t="s">
        <v>192</v>
      </c>
      <c r="AD147" s="122">
        <f t="shared" si="97"/>
        <v>11596.638655462186</v>
      </c>
      <c r="AE147" s="123">
        <f t="shared" si="98"/>
        <v>2203.3613445378155</v>
      </c>
      <c r="AF147" s="123">
        <f t="shared" si="87"/>
        <v>13800.000000000002</v>
      </c>
      <c r="AG147" s="123">
        <f t="shared" si="99"/>
        <v>13800</v>
      </c>
      <c r="AH147" s="123">
        <f t="shared" si="100"/>
        <v>13800.000000000002</v>
      </c>
      <c r="AI147" s="124" t="s">
        <v>200</v>
      </c>
      <c r="AJ147" s="125">
        <v>46072</v>
      </c>
      <c r="AK147" s="126" t="s">
        <v>705</v>
      </c>
      <c r="AL147" s="127" t="s">
        <v>194</v>
      </c>
      <c r="AM147" s="128" t="s">
        <v>706</v>
      </c>
      <c r="AN147" s="129">
        <v>11400</v>
      </c>
      <c r="AO147" s="129" t="s">
        <v>191</v>
      </c>
      <c r="AP147" s="130" t="s">
        <v>192</v>
      </c>
      <c r="AQ147" s="131">
        <f t="shared" si="101"/>
        <v>9579.8319327731097</v>
      </c>
      <c r="AR147" s="132">
        <f t="shared" si="88"/>
        <v>1820.1680672268908</v>
      </c>
      <c r="AS147" s="132">
        <f t="shared" si="89"/>
        <v>11400</v>
      </c>
      <c r="AT147" s="132">
        <f t="shared" si="90"/>
        <v>11400</v>
      </c>
      <c r="AU147" s="132">
        <f t="shared" si="91"/>
        <v>11400</v>
      </c>
      <c r="AV147" s="133">
        <f t="shared" si="83"/>
        <v>12367</v>
      </c>
      <c r="AW147" s="133">
        <f t="shared" si="84"/>
        <v>12367</v>
      </c>
      <c r="AX147" s="133">
        <f t="shared" si="85"/>
        <v>1266</v>
      </c>
      <c r="AY147" s="134">
        <f t="shared" si="92"/>
        <v>0.10236920837713269</v>
      </c>
      <c r="AZ147" s="5"/>
      <c r="BA147" s="7">
        <f t="shared" si="93"/>
        <v>3</v>
      </c>
      <c r="BB147" s="7"/>
    </row>
    <row r="148" spans="1:54" ht="67.5">
      <c r="A148" s="105" t="s">
        <v>181</v>
      </c>
      <c r="B148" s="105" t="s">
        <v>259</v>
      </c>
      <c r="C148" s="105"/>
      <c r="D148" s="105" t="s">
        <v>707</v>
      </c>
      <c r="E148" s="106" t="s">
        <v>708</v>
      </c>
      <c r="F148" s="107" t="s">
        <v>185</v>
      </c>
      <c r="G148" s="108">
        <v>1</v>
      </c>
      <c r="H148" s="107" t="s">
        <v>186</v>
      </c>
      <c r="I148" s="109" t="s">
        <v>200</v>
      </c>
      <c r="J148" s="110">
        <v>46072</v>
      </c>
      <c r="K148" s="111" t="s">
        <v>266</v>
      </c>
      <c r="L148" s="112" t="s">
        <v>194</v>
      </c>
      <c r="M148" s="110" t="s">
        <v>514</v>
      </c>
      <c r="N148" s="113">
        <v>5200</v>
      </c>
      <c r="O148" s="113" t="s">
        <v>191</v>
      </c>
      <c r="P148" s="113" t="s">
        <v>192</v>
      </c>
      <c r="Q148" s="114">
        <f t="shared" si="102"/>
        <v>4369.7478991596645</v>
      </c>
      <c r="R148" s="115">
        <f t="shared" si="94"/>
        <v>830.25210084033631</v>
      </c>
      <c r="S148" s="115">
        <f t="shared" si="86"/>
        <v>5200.0000000000009</v>
      </c>
      <c r="T148" s="115">
        <f t="shared" si="95"/>
        <v>5200</v>
      </c>
      <c r="U148" s="115">
        <f t="shared" si="96"/>
        <v>5200.0000000000009</v>
      </c>
      <c r="V148" s="116" t="s">
        <v>200</v>
      </c>
      <c r="W148" s="117">
        <v>46072</v>
      </c>
      <c r="X148" s="118" t="s">
        <v>709</v>
      </c>
      <c r="Y148" s="119" t="s">
        <v>194</v>
      </c>
      <c r="Z148" s="120" t="s">
        <v>710</v>
      </c>
      <c r="AA148" s="121">
        <v>5500</v>
      </c>
      <c r="AB148" s="121" t="s">
        <v>191</v>
      </c>
      <c r="AC148" s="121" t="s">
        <v>192</v>
      </c>
      <c r="AD148" s="122">
        <f t="shared" si="97"/>
        <v>4621.8487394957983</v>
      </c>
      <c r="AE148" s="123">
        <f t="shared" si="98"/>
        <v>878.15126050420167</v>
      </c>
      <c r="AF148" s="123">
        <f t="shared" si="87"/>
        <v>5500</v>
      </c>
      <c r="AG148" s="123">
        <f t="shared" si="99"/>
        <v>5500</v>
      </c>
      <c r="AH148" s="123">
        <f t="shared" si="100"/>
        <v>5500</v>
      </c>
      <c r="AI148" s="124" t="s">
        <v>187</v>
      </c>
      <c r="AJ148" s="125">
        <v>46072</v>
      </c>
      <c r="AK148" s="126" t="s">
        <v>608</v>
      </c>
      <c r="AL148" s="127" t="s">
        <v>189</v>
      </c>
      <c r="AM148" s="128" t="s">
        <v>609</v>
      </c>
      <c r="AN148" s="129">
        <v>5200</v>
      </c>
      <c r="AO148" s="129" t="s">
        <v>198</v>
      </c>
      <c r="AP148" s="130" t="s">
        <v>192</v>
      </c>
      <c r="AQ148" s="131">
        <f t="shared" si="101"/>
        <v>5200</v>
      </c>
      <c r="AR148" s="132">
        <f t="shared" si="88"/>
        <v>988</v>
      </c>
      <c r="AS148" s="132">
        <f t="shared" si="89"/>
        <v>6188</v>
      </c>
      <c r="AT148" s="132">
        <f t="shared" si="90"/>
        <v>5200</v>
      </c>
      <c r="AU148" s="132">
        <f t="shared" si="91"/>
        <v>6188</v>
      </c>
      <c r="AV148" s="133">
        <f t="shared" si="83"/>
        <v>5629</v>
      </c>
      <c r="AW148" s="133">
        <f t="shared" si="84"/>
        <v>5629</v>
      </c>
      <c r="AX148" s="133">
        <f t="shared" si="85"/>
        <v>507</v>
      </c>
      <c r="AY148" s="134">
        <f t="shared" si="92"/>
        <v>9.0069284064665134E-2</v>
      </c>
      <c r="AZ148" s="5"/>
      <c r="BA148" s="7">
        <f t="shared" si="93"/>
        <v>3</v>
      </c>
      <c r="BB148" s="7"/>
    </row>
    <row r="149" spans="1:54" ht="54">
      <c r="A149" s="105" t="s">
        <v>181</v>
      </c>
      <c r="B149" s="105" t="s">
        <v>259</v>
      </c>
      <c r="C149" s="105">
        <v>60121518</v>
      </c>
      <c r="D149" s="105" t="s">
        <v>711</v>
      </c>
      <c r="E149" s="106" t="s">
        <v>712</v>
      </c>
      <c r="F149" s="107" t="s">
        <v>185</v>
      </c>
      <c r="G149" s="108">
        <v>1</v>
      </c>
      <c r="H149" s="107" t="s">
        <v>186</v>
      </c>
      <c r="I149" s="109" t="s">
        <v>713</v>
      </c>
      <c r="J149" s="110">
        <v>46056</v>
      </c>
      <c r="K149" s="111" t="s">
        <v>714</v>
      </c>
      <c r="L149" s="112" t="s">
        <v>194</v>
      </c>
      <c r="M149" s="110" t="s">
        <v>587</v>
      </c>
      <c r="N149" s="113">
        <v>7992</v>
      </c>
      <c r="O149" s="113" t="s">
        <v>191</v>
      </c>
      <c r="P149" s="113" t="s">
        <v>192</v>
      </c>
      <c r="Q149" s="114">
        <f t="shared" si="102"/>
        <v>6715.9663865546217</v>
      </c>
      <c r="R149" s="115">
        <f t="shared" si="94"/>
        <v>1276.0336134453783</v>
      </c>
      <c r="S149" s="115">
        <f t="shared" si="86"/>
        <v>7992</v>
      </c>
      <c r="T149" s="115">
        <f t="shared" si="95"/>
        <v>7992</v>
      </c>
      <c r="U149" s="115">
        <f t="shared" si="96"/>
        <v>7992</v>
      </c>
      <c r="V149" s="116" t="s">
        <v>715</v>
      </c>
      <c r="W149" s="117">
        <v>46056</v>
      </c>
      <c r="X149" s="118" t="s">
        <v>716</v>
      </c>
      <c r="Y149" s="119" t="s">
        <v>194</v>
      </c>
      <c r="Z149" s="120" t="s">
        <v>246</v>
      </c>
      <c r="AA149" s="121">
        <v>9300</v>
      </c>
      <c r="AB149" s="121" t="s">
        <v>191</v>
      </c>
      <c r="AC149" s="121" t="s">
        <v>192</v>
      </c>
      <c r="AD149" s="122">
        <f t="shared" si="97"/>
        <v>7815.1260504201682</v>
      </c>
      <c r="AE149" s="123">
        <f t="shared" si="98"/>
        <v>1484.873949579832</v>
      </c>
      <c r="AF149" s="123">
        <f t="shared" si="87"/>
        <v>9300</v>
      </c>
      <c r="AG149" s="123">
        <f t="shared" si="99"/>
        <v>9300</v>
      </c>
      <c r="AH149" s="123">
        <f t="shared" si="100"/>
        <v>9300</v>
      </c>
      <c r="AI149" s="124" t="s">
        <v>713</v>
      </c>
      <c r="AJ149" s="125">
        <v>46056</v>
      </c>
      <c r="AK149" s="126" t="s">
        <v>717</v>
      </c>
      <c r="AL149" s="127" t="s">
        <v>194</v>
      </c>
      <c r="AM149" s="128" t="s">
        <v>718</v>
      </c>
      <c r="AN149" s="129">
        <v>11180</v>
      </c>
      <c r="AO149" s="129" t="s">
        <v>191</v>
      </c>
      <c r="AP149" s="130" t="s">
        <v>192</v>
      </c>
      <c r="AQ149" s="131">
        <f t="shared" si="101"/>
        <v>9394.957983193277</v>
      </c>
      <c r="AR149" s="132">
        <f t="shared" si="88"/>
        <v>1785.0420168067226</v>
      </c>
      <c r="AS149" s="132">
        <f t="shared" si="89"/>
        <v>11180</v>
      </c>
      <c r="AT149" s="132">
        <f t="shared" si="90"/>
        <v>11180</v>
      </c>
      <c r="AU149" s="132">
        <f t="shared" si="91"/>
        <v>11180</v>
      </c>
      <c r="AV149" s="133">
        <f t="shared" si="83"/>
        <v>9491</v>
      </c>
      <c r="AW149" s="133">
        <f t="shared" si="84"/>
        <v>9491</v>
      </c>
      <c r="AX149" s="133">
        <f t="shared" si="85"/>
        <v>1603</v>
      </c>
      <c r="AY149" s="134">
        <f t="shared" si="92"/>
        <v>0.16889684964703403</v>
      </c>
      <c r="AZ149" s="5"/>
      <c r="BA149" s="7">
        <f t="shared" si="93"/>
        <v>3</v>
      </c>
      <c r="BB149" s="7"/>
    </row>
    <row r="150" spans="1:54" ht="67.5">
      <c r="A150" s="105" t="s">
        <v>181</v>
      </c>
      <c r="B150" s="105" t="s">
        <v>259</v>
      </c>
      <c r="C150" s="105">
        <v>60121516</v>
      </c>
      <c r="D150" s="105" t="s">
        <v>719</v>
      </c>
      <c r="E150" s="106" t="s">
        <v>720</v>
      </c>
      <c r="F150" s="107" t="s">
        <v>185</v>
      </c>
      <c r="G150" s="108">
        <v>1</v>
      </c>
      <c r="H150" s="107" t="s">
        <v>186</v>
      </c>
      <c r="I150" s="109" t="s">
        <v>713</v>
      </c>
      <c r="J150" s="110">
        <v>46057</v>
      </c>
      <c r="K150" s="111" t="s">
        <v>721</v>
      </c>
      <c r="L150" s="112" t="s">
        <v>194</v>
      </c>
      <c r="M150" s="110" t="s">
        <v>722</v>
      </c>
      <c r="N150" s="113">
        <v>3500</v>
      </c>
      <c r="O150" s="113" t="s">
        <v>191</v>
      </c>
      <c r="P150" s="113" t="s">
        <v>192</v>
      </c>
      <c r="Q150" s="114">
        <f t="shared" si="102"/>
        <v>2941.1764705882356</v>
      </c>
      <c r="R150" s="115">
        <f t="shared" si="94"/>
        <v>558.82352941176475</v>
      </c>
      <c r="S150" s="115">
        <f t="shared" si="86"/>
        <v>3500.0000000000005</v>
      </c>
      <c r="T150" s="115">
        <f t="shared" si="95"/>
        <v>3500</v>
      </c>
      <c r="U150" s="115">
        <f t="shared" si="96"/>
        <v>3500.0000000000005</v>
      </c>
      <c r="V150" s="116" t="s">
        <v>713</v>
      </c>
      <c r="W150" s="117">
        <v>46057</v>
      </c>
      <c r="X150" s="118" t="s">
        <v>723</v>
      </c>
      <c r="Y150" s="119" t="s">
        <v>194</v>
      </c>
      <c r="Z150" s="120" t="s">
        <v>724</v>
      </c>
      <c r="AA150" s="121">
        <v>3176</v>
      </c>
      <c r="AB150" s="121" t="s">
        <v>191</v>
      </c>
      <c r="AC150" s="121" t="s">
        <v>192</v>
      </c>
      <c r="AD150" s="122">
        <f t="shared" si="97"/>
        <v>2668.90756302521</v>
      </c>
      <c r="AE150" s="123">
        <f t="shared" si="98"/>
        <v>507.0924369747899</v>
      </c>
      <c r="AF150" s="123">
        <f t="shared" si="87"/>
        <v>3176</v>
      </c>
      <c r="AG150" s="123">
        <f t="shared" si="99"/>
        <v>3176</v>
      </c>
      <c r="AH150" s="123">
        <f t="shared" si="100"/>
        <v>3176</v>
      </c>
      <c r="AI150" s="124" t="s">
        <v>713</v>
      </c>
      <c r="AJ150" s="125">
        <v>46057</v>
      </c>
      <c r="AK150" s="126" t="s">
        <v>725</v>
      </c>
      <c r="AL150" s="127" t="s">
        <v>194</v>
      </c>
      <c r="AM150" s="128" t="s">
        <v>503</v>
      </c>
      <c r="AN150" s="129">
        <v>4500</v>
      </c>
      <c r="AO150" s="129" t="s">
        <v>191</v>
      </c>
      <c r="AP150" s="130" t="s">
        <v>192</v>
      </c>
      <c r="AQ150" s="131">
        <f t="shared" si="101"/>
        <v>3781.5126050420172</v>
      </c>
      <c r="AR150" s="132">
        <f t="shared" si="88"/>
        <v>718.48739495798327</v>
      </c>
      <c r="AS150" s="132">
        <f t="shared" si="89"/>
        <v>4500</v>
      </c>
      <c r="AT150" s="132">
        <f t="shared" si="90"/>
        <v>4500</v>
      </c>
      <c r="AU150" s="132">
        <f t="shared" si="91"/>
        <v>4500</v>
      </c>
      <c r="AV150" s="133">
        <f t="shared" si="83"/>
        <v>3725</v>
      </c>
      <c r="AW150" s="133">
        <f t="shared" si="84"/>
        <v>3725</v>
      </c>
      <c r="AX150" s="133">
        <f t="shared" si="85"/>
        <v>690</v>
      </c>
      <c r="AY150" s="134">
        <f t="shared" si="92"/>
        <v>0.18523489932885906</v>
      </c>
      <c r="AZ150" s="5"/>
      <c r="BA150" s="7">
        <f t="shared" si="93"/>
        <v>3</v>
      </c>
      <c r="BB150" s="7"/>
    </row>
    <row r="151" spans="1:54" ht="67.5">
      <c r="A151" s="105" t="s">
        <v>181</v>
      </c>
      <c r="B151" s="105" t="s">
        <v>259</v>
      </c>
      <c r="C151" s="105">
        <v>60121518</v>
      </c>
      <c r="D151" s="105" t="s">
        <v>726</v>
      </c>
      <c r="E151" s="106" t="s">
        <v>727</v>
      </c>
      <c r="F151" s="107" t="s">
        <v>185</v>
      </c>
      <c r="G151" s="108">
        <v>1</v>
      </c>
      <c r="H151" s="107" t="s">
        <v>186</v>
      </c>
      <c r="I151" s="109" t="s">
        <v>187</v>
      </c>
      <c r="J151" s="110">
        <v>46080</v>
      </c>
      <c r="K151" s="111" t="s">
        <v>728</v>
      </c>
      <c r="L151" s="112" t="s">
        <v>194</v>
      </c>
      <c r="M151" s="110" t="s">
        <v>729</v>
      </c>
      <c r="N151" s="113">
        <v>8500</v>
      </c>
      <c r="O151" s="113" t="s">
        <v>191</v>
      </c>
      <c r="P151" s="113" t="s">
        <v>192</v>
      </c>
      <c r="Q151" s="114">
        <f t="shared" si="102"/>
        <v>7142.8571428571431</v>
      </c>
      <c r="R151" s="115">
        <f t="shared" si="94"/>
        <v>1357.1428571428571</v>
      </c>
      <c r="S151" s="115">
        <f t="shared" si="86"/>
        <v>8500</v>
      </c>
      <c r="T151" s="115">
        <f t="shared" si="95"/>
        <v>8500</v>
      </c>
      <c r="U151" s="115">
        <f t="shared" si="96"/>
        <v>8500</v>
      </c>
      <c r="V151" s="116" t="s">
        <v>187</v>
      </c>
      <c r="W151" s="117">
        <v>46080</v>
      </c>
      <c r="X151" s="118" t="s">
        <v>721</v>
      </c>
      <c r="Y151" s="119" t="s">
        <v>194</v>
      </c>
      <c r="Z151" s="120" t="s">
        <v>730</v>
      </c>
      <c r="AA151" s="121">
        <v>6722</v>
      </c>
      <c r="AB151" s="121" t="s">
        <v>198</v>
      </c>
      <c r="AC151" s="121" t="s">
        <v>192</v>
      </c>
      <c r="AD151" s="122">
        <f t="shared" si="97"/>
        <v>6722</v>
      </c>
      <c r="AE151" s="123">
        <f t="shared" si="98"/>
        <v>1277.18</v>
      </c>
      <c r="AF151" s="123">
        <f t="shared" si="87"/>
        <v>7999.18</v>
      </c>
      <c r="AG151" s="123">
        <f t="shared" si="99"/>
        <v>6722</v>
      </c>
      <c r="AH151" s="123">
        <f t="shared" si="100"/>
        <v>7999.18</v>
      </c>
      <c r="AI151" s="124" t="s">
        <v>187</v>
      </c>
      <c r="AJ151" s="125">
        <v>46080</v>
      </c>
      <c r="AK151" s="126" t="s">
        <v>266</v>
      </c>
      <c r="AL151" s="127" t="s">
        <v>194</v>
      </c>
      <c r="AM151" s="128" t="s">
        <v>506</v>
      </c>
      <c r="AN151" s="129">
        <v>6302</v>
      </c>
      <c r="AO151" s="129" t="s">
        <v>191</v>
      </c>
      <c r="AP151" s="130" t="s">
        <v>192</v>
      </c>
      <c r="AQ151" s="131">
        <f t="shared" si="101"/>
        <v>5295.7983193277314</v>
      </c>
      <c r="AR151" s="132">
        <f t="shared" si="88"/>
        <v>1006.2016806722689</v>
      </c>
      <c r="AS151" s="132">
        <f t="shared" si="89"/>
        <v>6302</v>
      </c>
      <c r="AT151" s="132">
        <f t="shared" si="90"/>
        <v>6302</v>
      </c>
      <c r="AU151" s="132">
        <f t="shared" si="91"/>
        <v>6302</v>
      </c>
      <c r="AV151" s="133">
        <f t="shared" si="83"/>
        <v>7600</v>
      </c>
      <c r="AW151" s="133">
        <f t="shared" si="84"/>
        <v>7600</v>
      </c>
      <c r="AX151" s="133">
        <f t="shared" si="85"/>
        <v>1152</v>
      </c>
      <c r="AY151" s="134">
        <f t="shared" si="92"/>
        <v>0.15157894736842106</v>
      </c>
      <c r="AZ151" s="5"/>
      <c r="BA151" s="7">
        <f t="shared" si="93"/>
        <v>3</v>
      </c>
      <c r="BB151" s="7"/>
    </row>
    <row r="152" spans="1:54" ht="108">
      <c r="A152" s="105" t="s">
        <v>181</v>
      </c>
      <c r="B152" s="105" t="s">
        <v>259</v>
      </c>
      <c r="C152" s="105">
        <v>60121905</v>
      </c>
      <c r="D152" s="105" t="s">
        <v>731</v>
      </c>
      <c r="E152" s="106" t="s">
        <v>732</v>
      </c>
      <c r="F152" s="107" t="s">
        <v>185</v>
      </c>
      <c r="G152" s="108">
        <v>1</v>
      </c>
      <c r="H152" s="107" t="s">
        <v>186</v>
      </c>
      <c r="I152" s="109" t="s">
        <v>187</v>
      </c>
      <c r="J152" s="110">
        <v>46080</v>
      </c>
      <c r="K152" s="111" t="s">
        <v>733</v>
      </c>
      <c r="L152" s="112" t="s">
        <v>189</v>
      </c>
      <c r="M152" s="110" t="s">
        <v>734</v>
      </c>
      <c r="N152" s="113">
        <v>12000</v>
      </c>
      <c r="O152" s="113" t="s">
        <v>191</v>
      </c>
      <c r="P152" s="113" t="s">
        <v>192</v>
      </c>
      <c r="Q152" s="114">
        <f t="shared" si="102"/>
        <v>10084.033613445379</v>
      </c>
      <c r="R152" s="115">
        <f t="shared" si="94"/>
        <v>1915.966386554622</v>
      </c>
      <c r="S152" s="115">
        <f t="shared" si="86"/>
        <v>12000.000000000002</v>
      </c>
      <c r="T152" s="115">
        <f t="shared" si="95"/>
        <v>12000</v>
      </c>
      <c r="U152" s="115">
        <f t="shared" si="96"/>
        <v>12000.000000000002</v>
      </c>
      <c r="V152" s="116" t="s">
        <v>187</v>
      </c>
      <c r="W152" s="117">
        <v>46080</v>
      </c>
      <c r="X152" s="118" t="s">
        <v>735</v>
      </c>
      <c r="Y152" s="119" t="s">
        <v>194</v>
      </c>
      <c r="Z152" s="120" t="s">
        <v>587</v>
      </c>
      <c r="AA152" s="121">
        <v>11400</v>
      </c>
      <c r="AB152" s="121" t="s">
        <v>191</v>
      </c>
      <c r="AC152" s="121" t="s">
        <v>192</v>
      </c>
      <c r="AD152" s="122">
        <f t="shared" si="97"/>
        <v>9579.8319327731097</v>
      </c>
      <c r="AE152" s="123">
        <f t="shared" si="98"/>
        <v>1820.1680672268908</v>
      </c>
      <c r="AF152" s="123">
        <f t="shared" si="87"/>
        <v>11400</v>
      </c>
      <c r="AG152" s="123">
        <f t="shared" si="99"/>
        <v>11400</v>
      </c>
      <c r="AH152" s="123">
        <f t="shared" si="100"/>
        <v>11400</v>
      </c>
      <c r="AI152" s="124" t="s">
        <v>187</v>
      </c>
      <c r="AJ152" s="125">
        <v>46080</v>
      </c>
      <c r="AK152" s="126" t="s">
        <v>736</v>
      </c>
      <c r="AL152" s="127" t="s">
        <v>194</v>
      </c>
      <c r="AM152" s="128" t="s">
        <v>524</v>
      </c>
      <c r="AN152" s="129">
        <v>12700</v>
      </c>
      <c r="AO152" s="129" t="s">
        <v>191</v>
      </c>
      <c r="AP152" s="130" t="s">
        <v>192</v>
      </c>
      <c r="AQ152" s="131">
        <f t="shared" si="101"/>
        <v>10672.268907563026</v>
      </c>
      <c r="AR152" s="132">
        <f t="shared" si="88"/>
        <v>2027.7310924369749</v>
      </c>
      <c r="AS152" s="132">
        <f t="shared" si="89"/>
        <v>12700</v>
      </c>
      <c r="AT152" s="132">
        <f t="shared" si="90"/>
        <v>12700</v>
      </c>
      <c r="AU152" s="132">
        <f t="shared" si="91"/>
        <v>12700</v>
      </c>
      <c r="AV152" s="133">
        <f t="shared" si="83"/>
        <v>12033</v>
      </c>
      <c r="AW152" s="133">
        <f t="shared" si="84"/>
        <v>12033</v>
      </c>
      <c r="AX152" s="133">
        <f t="shared" si="85"/>
        <v>651</v>
      </c>
      <c r="AY152" s="134">
        <f t="shared" si="92"/>
        <v>5.4101221640488653E-2</v>
      </c>
      <c r="AZ152" s="5"/>
      <c r="BA152" s="7">
        <f t="shared" si="93"/>
        <v>3</v>
      </c>
      <c r="BB152" s="7"/>
    </row>
    <row r="153" spans="1:54" ht="94.5">
      <c r="A153" s="105" t="s">
        <v>181</v>
      </c>
      <c r="B153" s="105" t="s">
        <v>259</v>
      </c>
      <c r="C153" s="105">
        <v>60121905</v>
      </c>
      <c r="D153" s="105" t="s">
        <v>737</v>
      </c>
      <c r="E153" s="106" t="s">
        <v>738</v>
      </c>
      <c r="F153" s="107" t="s">
        <v>185</v>
      </c>
      <c r="G153" s="108">
        <v>1</v>
      </c>
      <c r="H153" s="107" t="s">
        <v>186</v>
      </c>
      <c r="I153" s="109" t="s">
        <v>187</v>
      </c>
      <c r="J153" s="110">
        <v>46080</v>
      </c>
      <c r="K153" s="111" t="s">
        <v>608</v>
      </c>
      <c r="L153" s="112" t="s">
        <v>194</v>
      </c>
      <c r="M153" s="110" t="s">
        <v>609</v>
      </c>
      <c r="N153" s="113">
        <v>7700</v>
      </c>
      <c r="O153" s="113" t="s">
        <v>198</v>
      </c>
      <c r="P153" s="113" t="s">
        <v>192</v>
      </c>
      <c r="Q153" s="114">
        <f t="shared" si="102"/>
        <v>7700</v>
      </c>
      <c r="R153" s="115">
        <f t="shared" si="94"/>
        <v>1463</v>
      </c>
      <c r="S153" s="115">
        <f t="shared" si="86"/>
        <v>9163</v>
      </c>
      <c r="T153" s="115">
        <f t="shared" si="95"/>
        <v>7700</v>
      </c>
      <c r="U153" s="115">
        <f t="shared" si="96"/>
        <v>9163</v>
      </c>
      <c r="V153" s="116" t="s">
        <v>187</v>
      </c>
      <c r="W153" s="117">
        <v>46080</v>
      </c>
      <c r="X153" s="118" t="s">
        <v>739</v>
      </c>
      <c r="Y153" s="119" t="s">
        <v>194</v>
      </c>
      <c r="Z153" s="120" t="s">
        <v>524</v>
      </c>
      <c r="AA153" s="121">
        <v>10710</v>
      </c>
      <c r="AB153" s="121" t="s">
        <v>191</v>
      </c>
      <c r="AC153" s="121" t="s">
        <v>192</v>
      </c>
      <c r="AD153" s="122">
        <f t="shared" si="97"/>
        <v>9000</v>
      </c>
      <c r="AE153" s="123">
        <f t="shared" si="98"/>
        <v>1710</v>
      </c>
      <c r="AF153" s="123">
        <f t="shared" si="87"/>
        <v>10710</v>
      </c>
      <c r="AG153" s="123">
        <f t="shared" si="99"/>
        <v>10710</v>
      </c>
      <c r="AH153" s="123">
        <f t="shared" si="100"/>
        <v>10710</v>
      </c>
      <c r="AI153" s="124" t="s">
        <v>187</v>
      </c>
      <c r="AJ153" s="125">
        <v>46080</v>
      </c>
      <c r="AK153" s="126" t="s">
        <v>740</v>
      </c>
      <c r="AL153" s="127" t="s">
        <v>194</v>
      </c>
      <c r="AM153" s="128" t="s">
        <v>587</v>
      </c>
      <c r="AN153" s="129">
        <v>9900</v>
      </c>
      <c r="AO153" s="129" t="s">
        <v>191</v>
      </c>
      <c r="AP153" s="130" t="s">
        <v>192</v>
      </c>
      <c r="AQ153" s="131">
        <f t="shared" si="101"/>
        <v>8319.3277310924368</v>
      </c>
      <c r="AR153" s="132">
        <f t="shared" si="88"/>
        <v>1580.672268907563</v>
      </c>
      <c r="AS153" s="132">
        <f t="shared" si="89"/>
        <v>9900</v>
      </c>
      <c r="AT153" s="132">
        <f t="shared" si="90"/>
        <v>9900</v>
      </c>
      <c r="AU153" s="132">
        <f t="shared" si="91"/>
        <v>9900</v>
      </c>
      <c r="AV153" s="133">
        <f t="shared" si="83"/>
        <v>9924</v>
      </c>
      <c r="AW153" s="133">
        <f t="shared" si="84"/>
        <v>9924</v>
      </c>
      <c r="AX153" s="133">
        <f t="shared" si="85"/>
        <v>774</v>
      </c>
      <c r="AY153" s="134">
        <f t="shared" si="92"/>
        <v>7.7992744860943167E-2</v>
      </c>
      <c r="AZ153" s="5"/>
      <c r="BA153" s="7">
        <f t="shared" si="93"/>
        <v>3</v>
      </c>
      <c r="BB153" s="7"/>
    </row>
    <row r="154" spans="1:54" ht="297">
      <c r="A154" s="105" t="s">
        <v>252</v>
      </c>
      <c r="B154" s="105" t="s">
        <v>252</v>
      </c>
      <c r="C154" s="105" t="s">
        <v>252</v>
      </c>
      <c r="D154" s="105" t="s">
        <v>741</v>
      </c>
      <c r="E154" s="106" t="s">
        <v>742</v>
      </c>
      <c r="F154" s="107" t="s">
        <v>255</v>
      </c>
      <c r="G154" s="108">
        <v>1</v>
      </c>
      <c r="H154" s="107"/>
      <c r="I154" s="109"/>
      <c r="J154" s="110"/>
      <c r="K154" s="111"/>
      <c r="L154" s="112"/>
      <c r="M154" s="110"/>
      <c r="N154" s="113"/>
      <c r="O154" s="113"/>
      <c r="P154" s="113"/>
      <c r="Q154" s="114" t="s">
        <v>256</v>
      </c>
      <c r="R154" s="115" t="s">
        <v>256</v>
      </c>
      <c r="S154" s="115" t="s">
        <v>256</v>
      </c>
      <c r="T154" s="115" t="s">
        <v>256</v>
      </c>
      <c r="U154" s="115" t="s">
        <v>256</v>
      </c>
      <c r="V154" s="116" t="s">
        <v>252</v>
      </c>
      <c r="W154" s="117" t="s">
        <v>252</v>
      </c>
      <c r="X154" s="118" t="s">
        <v>252</v>
      </c>
      <c r="Y154" s="119" t="s">
        <v>252</v>
      </c>
      <c r="Z154" s="120" t="s">
        <v>257</v>
      </c>
      <c r="AA154" s="121" t="s">
        <v>252</v>
      </c>
      <c r="AB154" s="121" t="s">
        <v>252</v>
      </c>
      <c r="AC154" s="121" t="s">
        <v>252</v>
      </c>
      <c r="AD154" s="122" t="s">
        <v>252</v>
      </c>
      <c r="AE154" s="123" t="s">
        <v>252</v>
      </c>
      <c r="AF154" s="123">
        <f>AH154/1.19</f>
        <v>238084.03361344538</v>
      </c>
      <c r="AG154" s="123">
        <f>AF154*19%</f>
        <v>45235.966386554624</v>
      </c>
      <c r="AH154" s="123">
        <v>283320</v>
      </c>
      <c r="AI154" s="124" t="s">
        <v>252</v>
      </c>
      <c r="AJ154" s="125" t="s">
        <v>252</v>
      </c>
      <c r="AK154" s="126" t="s">
        <v>252</v>
      </c>
      <c r="AL154" s="127" t="s">
        <v>252</v>
      </c>
      <c r="AM154" s="128" t="s">
        <v>258</v>
      </c>
      <c r="AN154" s="129" t="s">
        <v>252</v>
      </c>
      <c r="AO154" s="129" t="s">
        <v>252</v>
      </c>
      <c r="AP154" s="130" t="s">
        <v>252</v>
      </c>
      <c r="AQ154" s="131">
        <v>230055</v>
      </c>
      <c r="AR154" s="132">
        <v>43710</v>
      </c>
      <c r="AS154" s="132">
        <v>273765</v>
      </c>
      <c r="AT154" s="132">
        <v>230055</v>
      </c>
      <c r="AU154" s="132">
        <v>273765</v>
      </c>
      <c r="AV154" s="133">
        <f t="shared" si="83"/>
        <v>255925</v>
      </c>
      <c r="AW154" s="133">
        <f t="shared" si="84"/>
        <v>255925</v>
      </c>
      <c r="AX154" s="133" t="str">
        <f t="shared" si="85"/>
        <v/>
      </c>
      <c r="AY154" s="134">
        <v>2.4299999999999999E-2</v>
      </c>
      <c r="AZ154" s="5"/>
      <c r="BA154" s="7"/>
      <c r="BB154" s="7"/>
    </row>
    <row r="155" spans="1:54" ht="67.5">
      <c r="A155" s="105" t="s">
        <v>181</v>
      </c>
      <c r="B155" s="105" t="s">
        <v>259</v>
      </c>
      <c r="C155" s="105">
        <v>44121708</v>
      </c>
      <c r="D155" s="105" t="s">
        <v>743</v>
      </c>
      <c r="E155" s="106" t="s">
        <v>744</v>
      </c>
      <c r="F155" s="107" t="s">
        <v>185</v>
      </c>
      <c r="G155" s="108">
        <v>1</v>
      </c>
      <c r="H155" s="107" t="s">
        <v>186</v>
      </c>
      <c r="I155" s="109" t="s">
        <v>187</v>
      </c>
      <c r="J155" s="110">
        <v>46080</v>
      </c>
      <c r="K155" s="111" t="s">
        <v>745</v>
      </c>
      <c r="L155" s="112" t="s">
        <v>194</v>
      </c>
      <c r="M155" s="110" t="s">
        <v>746</v>
      </c>
      <c r="N155" s="113">
        <v>13866</v>
      </c>
      <c r="O155" s="113" t="s">
        <v>191</v>
      </c>
      <c r="P155" s="113" t="s">
        <v>192</v>
      </c>
      <c r="Q155" s="114">
        <f>IF(O155="IVA Incluido",(N155/1.19),N155)</f>
        <v>11652.100840336136</v>
      </c>
      <c r="R155" s="115">
        <f>IF(P155="Si tiene IVA",Q155*19%,0)</f>
        <v>2213.8991596638657</v>
      </c>
      <c r="S155" s="115">
        <f>Q155+R155</f>
        <v>13866.000000000002</v>
      </c>
      <c r="T155" s="115">
        <f>IF(B155="","",(N155*G155))</f>
        <v>13866</v>
      </c>
      <c r="U155" s="115">
        <f>IF(B155="","",(S155*G155))</f>
        <v>13866.000000000002</v>
      </c>
      <c r="V155" s="116" t="s">
        <v>187</v>
      </c>
      <c r="W155" s="117">
        <v>46080</v>
      </c>
      <c r="X155" s="118" t="s">
        <v>608</v>
      </c>
      <c r="Y155" s="119" t="s">
        <v>194</v>
      </c>
      <c r="Z155" s="120" t="s">
        <v>609</v>
      </c>
      <c r="AA155" s="121">
        <v>14034</v>
      </c>
      <c r="AB155" s="121" t="s">
        <v>198</v>
      </c>
      <c r="AC155" s="121" t="s">
        <v>192</v>
      </c>
      <c r="AD155" s="122">
        <f>IF(AB155="IVA Incluido",(AA155/1.19),AA155)</f>
        <v>14034</v>
      </c>
      <c r="AE155" s="123">
        <f>IF(AC155="Si tiene IVA",AD155*19%,0)</f>
        <v>2666.46</v>
      </c>
      <c r="AF155" s="123">
        <f>AD155+AE155</f>
        <v>16700.46</v>
      </c>
      <c r="AG155" s="123">
        <f>IF(O155="","",(AA155*G155))</f>
        <v>14034</v>
      </c>
      <c r="AH155" s="123">
        <f>IF(O155="","",(AF155*G155))</f>
        <v>16700.46</v>
      </c>
      <c r="AI155" s="124" t="s">
        <v>187</v>
      </c>
      <c r="AJ155" s="125">
        <v>46080</v>
      </c>
      <c r="AK155" s="126" t="s">
        <v>747</v>
      </c>
      <c r="AL155" s="127" t="s">
        <v>194</v>
      </c>
      <c r="AM155" s="128" t="s">
        <v>748</v>
      </c>
      <c r="AN155" s="129">
        <v>15000</v>
      </c>
      <c r="AO155" s="129" t="s">
        <v>191</v>
      </c>
      <c r="AP155" s="130" t="s">
        <v>192</v>
      </c>
      <c r="AQ155" s="131">
        <f>IF(AO155="IVA Incluido",(AN155/1.19),AN155)</f>
        <v>12605.042016806723</v>
      </c>
      <c r="AR155" s="132">
        <f>IF(AP155="Si tiene IVA",AQ155*19%,0)</f>
        <v>2394.9579831932774</v>
      </c>
      <c r="AS155" s="132">
        <f>AQ155+AR155</f>
        <v>15000</v>
      </c>
      <c r="AT155" s="132">
        <f>IF(AB155="","",(AN155*G155))</f>
        <v>15000</v>
      </c>
      <c r="AU155" s="132">
        <f>IF(AB155="","",(AS155*G155))</f>
        <v>15000</v>
      </c>
      <c r="AV155" s="133">
        <f t="shared" si="83"/>
        <v>15189</v>
      </c>
      <c r="AW155" s="133">
        <f t="shared" si="84"/>
        <v>15189</v>
      </c>
      <c r="AX155" s="133">
        <f t="shared" si="85"/>
        <v>1427</v>
      </c>
      <c r="AY155" s="134">
        <f>IF(N155="","",(AX155/AW155))</f>
        <v>9.3949568766870759E-2</v>
      </c>
      <c r="AZ155" s="5"/>
      <c r="BA155" s="7">
        <f>COUNTA(M155,Z155,AM155)</f>
        <v>3</v>
      </c>
      <c r="BB155" s="7"/>
    </row>
    <row r="156" spans="1:54" ht="67.5">
      <c r="A156" s="105" t="s">
        <v>181</v>
      </c>
      <c r="B156" s="105" t="s">
        <v>259</v>
      </c>
      <c r="C156" s="105">
        <v>44121708</v>
      </c>
      <c r="D156" s="105" t="s">
        <v>749</v>
      </c>
      <c r="E156" s="106" t="s">
        <v>750</v>
      </c>
      <c r="F156" s="107" t="s">
        <v>185</v>
      </c>
      <c r="G156" s="108">
        <v>1</v>
      </c>
      <c r="H156" s="107" t="s">
        <v>186</v>
      </c>
      <c r="I156" s="109" t="s">
        <v>187</v>
      </c>
      <c r="J156" s="110">
        <v>46080</v>
      </c>
      <c r="K156" s="111" t="s">
        <v>608</v>
      </c>
      <c r="L156" s="112" t="s">
        <v>189</v>
      </c>
      <c r="M156" s="110" t="s">
        <v>609</v>
      </c>
      <c r="N156" s="113">
        <v>12687</v>
      </c>
      <c r="O156" s="113" t="s">
        <v>198</v>
      </c>
      <c r="P156" s="113" t="s">
        <v>192</v>
      </c>
      <c r="Q156" s="114">
        <f>IF(O156="IVA Incluido",(N156/1.19),N156)</f>
        <v>12687</v>
      </c>
      <c r="R156" s="115">
        <f>IF(P156="Si tiene IVA",Q156*19%,0)</f>
        <v>2410.5300000000002</v>
      </c>
      <c r="S156" s="115">
        <f>Q156+R156</f>
        <v>15097.53</v>
      </c>
      <c r="T156" s="115">
        <f>IF(B156="","",(N156*G156))</f>
        <v>12687</v>
      </c>
      <c r="U156" s="115">
        <f>IF(B156="","",(S156*G156))</f>
        <v>15097.53</v>
      </c>
      <c r="V156" s="116" t="s">
        <v>187</v>
      </c>
      <c r="W156" s="117">
        <v>46080</v>
      </c>
      <c r="X156" s="118" t="s">
        <v>748</v>
      </c>
      <c r="Y156" s="119" t="s">
        <v>194</v>
      </c>
      <c r="Z156" s="120" t="s">
        <v>748</v>
      </c>
      <c r="AA156" s="121">
        <v>12000</v>
      </c>
      <c r="AB156" s="121" t="s">
        <v>191</v>
      </c>
      <c r="AC156" s="121" t="s">
        <v>192</v>
      </c>
      <c r="AD156" s="122">
        <f>IF(AB156="IVA Incluido",(AA156/1.19),AA156)</f>
        <v>10084.033613445379</v>
      </c>
      <c r="AE156" s="123">
        <f>IF(AC156="Si tiene IVA",AD156*19%,0)</f>
        <v>1915.966386554622</v>
      </c>
      <c r="AF156" s="123">
        <f>AD156+AE156</f>
        <v>12000.000000000002</v>
      </c>
      <c r="AG156" s="123">
        <f>IF(O156="","",(AA156*G156))</f>
        <v>12000</v>
      </c>
      <c r="AH156" s="123">
        <f>IF(O156="","",(AF156*G156))</f>
        <v>12000.000000000002</v>
      </c>
      <c r="AI156" s="124" t="s">
        <v>187</v>
      </c>
      <c r="AJ156" s="125">
        <v>46080</v>
      </c>
      <c r="AK156" s="126" t="s">
        <v>266</v>
      </c>
      <c r="AL156" s="127" t="s">
        <v>189</v>
      </c>
      <c r="AM156" s="128" t="s">
        <v>506</v>
      </c>
      <c r="AN156" s="129">
        <v>14800</v>
      </c>
      <c r="AO156" s="129" t="s">
        <v>191</v>
      </c>
      <c r="AP156" s="130" t="s">
        <v>192</v>
      </c>
      <c r="AQ156" s="131">
        <f>IF(AO156="IVA Incluido",(AN156/1.19),AN156)</f>
        <v>12436.974789915967</v>
      </c>
      <c r="AR156" s="132">
        <f>IF(AP156="Si tiene IVA",AQ156*19%,0)</f>
        <v>2363.0252100840335</v>
      </c>
      <c r="AS156" s="132">
        <f>AQ156+AR156</f>
        <v>14800</v>
      </c>
      <c r="AT156" s="132">
        <f>IF(AB156="","",(AN156*G156))</f>
        <v>14800</v>
      </c>
      <c r="AU156" s="132">
        <f>IF(AB156="","",(AS156*G156))</f>
        <v>14800</v>
      </c>
      <c r="AV156" s="133">
        <f t="shared" si="83"/>
        <v>13966</v>
      </c>
      <c r="AW156" s="133">
        <f t="shared" si="84"/>
        <v>13966</v>
      </c>
      <c r="AX156" s="133">
        <f t="shared" si="85"/>
        <v>1709</v>
      </c>
      <c r="AY156" s="134">
        <f>IF(N156="","",(AX156/AW156))</f>
        <v>0.12236860948016612</v>
      </c>
      <c r="AZ156" s="5"/>
      <c r="BA156" s="7">
        <f>COUNTA(M156,Z156,AM156)</f>
        <v>3</v>
      </c>
      <c r="BB156" s="7"/>
    </row>
    <row r="157" spans="1:54" ht="94.5">
      <c r="A157" s="105" t="s">
        <v>181</v>
      </c>
      <c r="B157" s="105" t="s">
        <v>259</v>
      </c>
      <c r="C157" s="105">
        <v>44121708</v>
      </c>
      <c r="D157" s="105" t="s">
        <v>751</v>
      </c>
      <c r="E157" s="106" t="s">
        <v>752</v>
      </c>
      <c r="F157" s="107" t="s">
        <v>185</v>
      </c>
      <c r="G157" s="108">
        <v>1</v>
      </c>
      <c r="H157" s="107" t="s">
        <v>186</v>
      </c>
      <c r="I157" s="109" t="s">
        <v>187</v>
      </c>
      <c r="J157" s="110">
        <v>46080</v>
      </c>
      <c r="K157" s="111" t="s">
        <v>753</v>
      </c>
      <c r="L157" s="112" t="s">
        <v>189</v>
      </c>
      <c r="M157" s="110" t="s">
        <v>754</v>
      </c>
      <c r="N157" s="113">
        <v>47900</v>
      </c>
      <c r="O157" s="113" t="s">
        <v>191</v>
      </c>
      <c r="P157" s="113" t="s">
        <v>192</v>
      </c>
      <c r="Q157" s="114">
        <f>IF(O157="IVA Incluido",(N157/1.19),N157)</f>
        <v>40252.100840336134</v>
      </c>
      <c r="R157" s="115">
        <f>IF(P157="Si tiene IVA",Q157*19%,0)</f>
        <v>7647.8991596638652</v>
      </c>
      <c r="S157" s="115">
        <f>Q157+R157</f>
        <v>47900</v>
      </c>
      <c r="T157" s="115">
        <f>IF(B157="","",(N157*G157))</f>
        <v>47900</v>
      </c>
      <c r="U157" s="115">
        <f>IF(B157="","",(S157*G157))</f>
        <v>47900</v>
      </c>
      <c r="V157" s="116" t="s">
        <v>187</v>
      </c>
      <c r="W157" s="117">
        <v>46080</v>
      </c>
      <c r="X157" s="118" t="s">
        <v>755</v>
      </c>
      <c r="Y157" s="119" t="s">
        <v>189</v>
      </c>
      <c r="Z157" s="120" t="s">
        <v>756</v>
      </c>
      <c r="AA157" s="121">
        <v>51900</v>
      </c>
      <c r="AB157" s="121" t="s">
        <v>191</v>
      </c>
      <c r="AC157" s="121" t="s">
        <v>192</v>
      </c>
      <c r="AD157" s="122">
        <f>IF(AB157="IVA Incluido",(AA157/1.19),AA157)</f>
        <v>43613.445378151264</v>
      </c>
      <c r="AE157" s="123">
        <f>IF(AC157="Si tiene IVA",AD157*19%,0)</f>
        <v>8286.5546218487398</v>
      </c>
      <c r="AF157" s="123">
        <f>AD157+AE157</f>
        <v>51900</v>
      </c>
      <c r="AG157" s="123">
        <f>IF(O157="","",(AA157*G157))</f>
        <v>51900</v>
      </c>
      <c r="AH157" s="123">
        <f>IF(O157="","",(AF157*G157))</f>
        <v>51900</v>
      </c>
      <c r="AI157" s="124" t="s">
        <v>187</v>
      </c>
      <c r="AJ157" s="125">
        <v>46080</v>
      </c>
      <c r="AK157" s="126" t="s">
        <v>757</v>
      </c>
      <c r="AL157" s="127" t="s">
        <v>189</v>
      </c>
      <c r="AM157" s="128" t="s">
        <v>758</v>
      </c>
      <c r="AN157" s="129">
        <v>50000</v>
      </c>
      <c r="AO157" s="129" t="s">
        <v>191</v>
      </c>
      <c r="AP157" s="130" t="s">
        <v>192</v>
      </c>
      <c r="AQ157" s="131">
        <f>IF(AO157="IVA Incluido",(AN157/1.19),AN157)</f>
        <v>42016.806722689078</v>
      </c>
      <c r="AR157" s="132">
        <f>IF(AP157="Si tiene IVA",AQ157*19%,0)</f>
        <v>7983.1932773109247</v>
      </c>
      <c r="AS157" s="132">
        <f>AQ157+AR157</f>
        <v>50000</v>
      </c>
      <c r="AT157" s="132">
        <f>IF(AB157="","",(AN157*G157))</f>
        <v>50000</v>
      </c>
      <c r="AU157" s="132">
        <f>IF(AB157="","",(AS157*G157))</f>
        <v>50000</v>
      </c>
      <c r="AV157" s="133">
        <f t="shared" si="83"/>
        <v>49933</v>
      </c>
      <c r="AW157" s="133">
        <f t="shared" si="84"/>
        <v>49933</v>
      </c>
      <c r="AX157" s="133">
        <f t="shared" si="85"/>
        <v>2001</v>
      </c>
      <c r="AY157" s="134">
        <f>IF(N157="","",(AX157/AW157))</f>
        <v>4.0073698756333487E-2</v>
      </c>
      <c r="AZ157" s="5"/>
      <c r="BA157" s="7">
        <f>COUNTA(M157,Z157,AM157)</f>
        <v>3</v>
      </c>
      <c r="BB157" s="7"/>
    </row>
    <row r="158" spans="1:54" ht="297">
      <c r="A158" s="105" t="s">
        <v>252</v>
      </c>
      <c r="B158" s="105" t="s">
        <v>252</v>
      </c>
      <c r="C158" s="105" t="s">
        <v>252</v>
      </c>
      <c r="D158" s="105" t="s">
        <v>759</v>
      </c>
      <c r="E158" s="106" t="s">
        <v>760</v>
      </c>
      <c r="F158" s="107" t="s">
        <v>255</v>
      </c>
      <c r="G158" s="108">
        <v>1</v>
      </c>
      <c r="H158" s="107"/>
      <c r="I158" s="109"/>
      <c r="J158" s="110"/>
      <c r="K158" s="111"/>
      <c r="L158" s="112"/>
      <c r="M158" s="110"/>
      <c r="N158" s="113"/>
      <c r="O158" s="113"/>
      <c r="P158" s="113"/>
      <c r="Q158" s="114" t="s">
        <v>256</v>
      </c>
      <c r="R158" s="115" t="s">
        <v>256</v>
      </c>
      <c r="S158" s="115" t="s">
        <v>256</v>
      </c>
      <c r="T158" s="115" t="s">
        <v>256</v>
      </c>
      <c r="U158" s="115" t="s">
        <v>256</v>
      </c>
      <c r="V158" s="116" t="s">
        <v>252</v>
      </c>
      <c r="W158" s="117" t="s">
        <v>252</v>
      </c>
      <c r="X158" s="118" t="s">
        <v>252</v>
      </c>
      <c r="Y158" s="119" t="s">
        <v>252</v>
      </c>
      <c r="Z158" s="120" t="s">
        <v>257</v>
      </c>
      <c r="AA158" s="121" t="s">
        <v>252</v>
      </c>
      <c r="AB158" s="121" t="s">
        <v>252</v>
      </c>
      <c r="AC158" s="121" t="s">
        <v>252</v>
      </c>
      <c r="AD158" s="122" t="s">
        <v>252</v>
      </c>
      <c r="AE158" s="123" t="s">
        <v>252</v>
      </c>
      <c r="AF158" s="123">
        <f>AH158/1.19</f>
        <v>655968.90756302525</v>
      </c>
      <c r="AG158" s="123">
        <f>AF158*19%</f>
        <v>124634.0924369748</v>
      </c>
      <c r="AH158" s="123">
        <v>780603</v>
      </c>
      <c r="AI158" s="124" t="s">
        <v>252</v>
      </c>
      <c r="AJ158" s="125" t="s">
        <v>252</v>
      </c>
      <c r="AK158" s="126" t="s">
        <v>252</v>
      </c>
      <c r="AL158" s="127" t="s">
        <v>252</v>
      </c>
      <c r="AM158" s="128" t="s">
        <v>258</v>
      </c>
      <c r="AN158" s="129" t="s">
        <v>252</v>
      </c>
      <c r="AO158" s="129" t="s">
        <v>252</v>
      </c>
      <c r="AP158" s="130" t="s">
        <v>252</v>
      </c>
      <c r="AQ158" s="131">
        <v>636954</v>
      </c>
      <c r="AR158" s="132">
        <v>121021</v>
      </c>
      <c r="AS158" s="132">
        <v>757975</v>
      </c>
      <c r="AT158" s="132">
        <v>636954</v>
      </c>
      <c r="AU158" s="132">
        <v>757975</v>
      </c>
      <c r="AV158" s="133">
        <f t="shared" si="83"/>
        <v>706972</v>
      </c>
      <c r="AW158" s="133">
        <f t="shared" si="84"/>
        <v>706972</v>
      </c>
      <c r="AX158" s="133" t="str">
        <f t="shared" si="85"/>
        <v/>
      </c>
      <c r="AY158" s="134">
        <v>2.0799999999999999E-2</v>
      </c>
      <c r="AZ158" s="5"/>
      <c r="BA158" s="7"/>
      <c r="BB158" s="7"/>
    </row>
    <row r="159" spans="1:54" ht="67.5">
      <c r="A159" s="105" t="s">
        <v>181</v>
      </c>
      <c r="B159" s="105" t="s">
        <v>259</v>
      </c>
      <c r="C159" s="105"/>
      <c r="D159" s="105" t="s">
        <v>761</v>
      </c>
      <c r="E159" s="106" t="s">
        <v>762</v>
      </c>
      <c r="F159" s="107" t="s">
        <v>185</v>
      </c>
      <c r="G159" s="108">
        <v>1</v>
      </c>
      <c r="H159" s="107" t="s">
        <v>186</v>
      </c>
      <c r="I159" s="109" t="s">
        <v>187</v>
      </c>
      <c r="J159" s="110">
        <v>46080</v>
      </c>
      <c r="K159" s="111" t="s">
        <v>447</v>
      </c>
      <c r="L159" s="112" t="s">
        <v>189</v>
      </c>
      <c r="M159" s="110" t="s">
        <v>482</v>
      </c>
      <c r="N159" s="113">
        <v>32000</v>
      </c>
      <c r="O159" s="113" t="s">
        <v>191</v>
      </c>
      <c r="P159" s="113" t="s">
        <v>192</v>
      </c>
      <c r="Q159" s="114">
        <f>IF(O159="IVA Incluido",(N159/1.19),N159)</f>
        <v>26890.756302521011</v>
      </c>
      <c r="R159" s="115">
        <f>IF(P159="Si tiene IVA",Q159*19%,0)</f>
        <v>5109.2436974789925</v>
      </c>
      <c r="S159" s="115">
        <f>Q159+R159</f>
        <v>32000.000000000004</v>
      </c>
      <c r="T159" s="115">
        <f>IF(B159="","",(N159*G159))</f>
        <v>32000</v>
      </c>
      <c r="U159" s="115">
        <f>IF(B159="","",(S159*G159))</f>
        <v>32000.000000000004</v>
      </c>
      <c r="V159" s="116" t="s">
        <v>187</v>
      </c>
      <c r="W159" s="117">
        <v>46080</v>
      </c>
      <c r="X159" s="118" t="s">
        <v>763</v>
      </c>
      <c r="Y159" s="119" t="s">
        <v>194</v>
      </c>
      <c r="Z159" s="120" t="s">
        <v>764</v>
      </c>
      <c r="AA159" s="121">
        <v>24900</v>
      </c>
      <c r="AB159" s="121" t="s">
        <v>191</v>
      </c>
      <c r="AC159" s="121" t="s">
        <v>192</v>
      </c>
      <c r="AD159" s="122">
        <f>IF(AB159="IVA Incluido",(AA159/1.19),AA159)</f>
        <v>20924.36974789916</v>
      </c>
      <c r="AE159" s="123">
        <f>IF(AC159="Si tiene IVA",AD159*19%,0)</f>
        <v>3975.6302521008406</v>
      </c>
      <c r="AF159" s="123">
        <f>AD159+AE159</f>
        <v>24900</v>
      </c>
      <c r="AG159" s="123">
        <f>IF(O159="","",(AA159*G159))</f>
        <v>24900</v>
      </c>
      <c r="AH159" s="123">
        <f>IF(O159="","",(AF159*G159))</f>
        <v>24900</v>
      </c>
      <c r="AI159" s="124" t="s">
        <v>187</v>
      </c>
      <c r="AJ159" s="125">
        <v>46080</v>
      </c>
      <c r="AK159" s="126" t="s">
        <v>765</v>
      </c>
      <c r="AL159" s="127" t="s">
        <v>194</v>
      </c>
      <c r="AM159" s="128" t="s">
        <v>766</v>
      </c>
      <c r="AN159" s="129">
        <v>25000</v>
      </c>
      <c r="AO159" s="129" t="s">
        <v>191</v>
      </c>
      <c r="AP159" s="130" t="s">
        <v>192</v>
      </c>
      <c r="AQ159" s="131">
        <f>IF(AO159="IVA Incluido",(AN159/1.19),AN159)</f>
        <v>21008.403361344539</v>
      </c>
      <c r="AR159" s="132">
        <f>IF(AP159="Si tiene IVA",AQ159*19%,0)</f>
        <v>3991.5966386554624</v>
      </c>
      <c r="AS159" s="132">
        <f>AQ159+AR159</f>
        <v>25000</v>
      </c>
      <c r="AT159" s="132">
        <f>IF(AB159="","",(AN159*G159))</f>
        <v>25000</v>
      </c>
      <c r="AU159" s="132">
        <f>IF(AB159="","",(AS159*G159))</f>
        <v>25000</v>
      </c>
      <c r="AV159" s="133">
        <f t="shared" si="83"/>
        <v>27300</v>
      </c>
      <c r="AW159" s="133">
        <f t="shared" si="84"/>
        <v>27300</v>
      </c>
      <c r="AX159" s="133">
        <f t="shared" si="85"/>
        <v>4071</v>
      </c>
      <c r="AY159" s="134">
        <f>IF(N159="","",(AX159/AW159))</f>
        <v>0.14912087912087912</v>
      </c>
      <c r="AZ159" s="5"/>
      <c r="BA159" s="7">
        <f>COUNTA(M159,Z159,AM159)</f>
        <v>3</v>
      </c>
      <c r="BB159" s="7"/>
    </row>
    <row r="160" spans="1:54" ht="54">
      <c r="A160" s="105" t="s">
        <v>181</v>
      </c>
      <c r="B160" s="105" t="s">
        <v>259</v>
      </c>
      <c r="C160" s="105"/>
      <c r="D160" s="105" t="s">
        <v>767</v>
      </c>
      <c r="E160" s="106" t="s">
        <v>768</v>
      </c>
      <c r="F160" s="107" t="s">
        <v>185</v>
      </c>
      <c r="G160" s="108">
        <v>1</v>
      </c>
      <c r="H160" s="107" t="s">
        <v>186</v>
      </c>
      <c r="I160" s="109" t="s">
        <v>187</v>
      </c>
      <c r="J160" s="110">
        <v>46080</v>
      </c>
      <c r="K160" s="111" t="s">
        <v>769</v>
      </c>
      <c r="L160" s="112" t="s">
        <v>194</v>
      </c>
      <c r="M160" s="110" t="s">
        <v>770</v>
      </c>
      <c r="N160" s="113">
        <v>18000</v>
      </c>
      <c r="O160" s="113" t="s">
        <v>191</v>
      </c>
      <c r="P160" s="113" t="s">
        <v>192</v>
      </c>
      <c r="Q160" s="114">
        <f>IF(O160="IVA Incluido",(N160/1.19),N160)</f>
        <v>15126.050420168069</v>
      </c>
      <c r="R160" s="115">
        <f>IF(P160="Si tiene IVA",Q160*19%,0)</f>
        <v>2873.9495798319331</v>
      </c>
      <c r="S160" s="115">
        <f>Q160+R160</f>
        <v>18000</v>
      </c>
      <c r="T160" s="115">
        <f>IF(B160="","",(N160*G160))</f>
        <v>18000</v>
      </c>
      <c r="U160" s="115">
        <f>IF(B160="","",(S160*G160))</f>
        <v>18000</v>
      </c>
      <c r="V160" s="116" t="s">
        <v>187</v>
      </c>
      <c r="W160" s="117">
        <v>46080</v>
      </c>
      <c r="X160" s="118" t="s">
        <v>608</v>
      </c>
      <c r="Y160" s="119" t="s">
        <v>189</v>
      </c>
      <c r="Z160" s="120" t="s">
        <v>771</v>
      </c>
      <c r="AA160" s="121">
        <v>14000</v>
      </c>
      <c r="AB160" s="121" t="s">
        <v>198</v>
      </c>
      <c r="AC160" s="121" t="s">
        <v>192</v>
      </c>
      <c r="AD160" s="122">
        <f>IF(AB160="IVA Incluido",(AA160/1.19),AA160)</f>
        <v>14000</v>
      </c>
      <c r="AE160" s="123">
        <f>IF(AC160="Si tiene IVA",AD160*19%,0)</f>
        <v>2660</v>
      </c>
      <c r="AF160" s="123">
        <f>AD160+AE160</f>
        <v>16660</v>
      </c>
      <c r="AG160" s="123">
        <f>IF(O160="","",(AA160*G160))</f>
        <v>14000</v>
      </c>
      <c r="AH160" s="123">
        <f>IF(O160="","",(AF160*G160))</f>
        <v>16660</v>
      </c>
      <c r="AI160" s="124" t="s">
        <v>187</v>
      </c>
      <c r="AJ160" s="125">
        <v>46080</v>
      </c>
      <c r="AK160" s="126" t="s">
        <v>747</v>
      </c>
      <c r="AL160" s="127" t="s">
        <v>194</v>
      </c>
      <c r="AM160" s="128" t="s">
        <v>748</v>
      </c>
      <c r="AN160" s="129">
        <v>16000</v>
      </c>
      <c r="AO160" s="129" t="s">
        <v>191</v>
      </c>
      <c r="AP160" s="130" t="s">
        <v>192</v>
      </c>
      <c r="AQ160" s="131">
        <f>IF(AO160="IVA Incluido",(AN160/1.19),AN160)</f>
        <v>13445.378151260506</v>
      </c>
      <c r="AR160" s="132">
        <f>IF(AP160="Si tiene IVA",AQ160*19%,0)</f>
        <v>2554.6218487394963</v>
      </c>
      <c r="AS160" s="132">
        <f>AQ160+AR160</f>
        <v>16000.000000000002</v>
      </c>
      <c r="AT160" s="132">
        <f>IF(AB160="","",(AN160*G160))</f>
        <v>16000</v>
      </c>
      <c r="AU160" s="132">
        <f>IF(AB160="","",(AS160*G160))</f>
        <v>16000.000000000002</v>
      </c>
      <c r="AV160" s="133">
        <f t="shared" si="83"/>
        <v>16887</v>
      </c>
      <c r="AW160" s="133">
        <f t="shared" si="84"/>
        <v>16887</v>
      </c>
      <c r="AX160" s="133">
        <f t="shared" si="85"/>
        <v>1019</v>
      </c>
      <c r="AY160" s="134">
        <f>IF(N160="","",(AX160/AW160))</f>
        <v>6.0342275122875585E-2</v>
      </c>
      <c r="AZ160" s="5"/>
      <c r="BA160" s="7">
        <f>COUNTA(M160,Z160,AM160)</f>
        <v>3</v>
      </c>
      <c r="BB160" s="7"/>
    </row>
    <row r="161" spans="1:54" ht="297">
      <c r="A161" s="105" t="s">
        <v>181</v>
      </c>
      <c r="B161" s="105" t="s">
        <v>241</v>
      </c>
      <c r="C161" s="105" t="s">
        <v>772</v>
      </c>
      <c r="D161" s="105" t="s">
        <v>773</v>
      </c>
      <c r="E161" s="106" t="s">
        <v>774</v>
      </c>
      <c r="F161" s="107" t="s">
        <v>185</v>
      </c>
      <c r="G161" s="108">
        <v>1</v>
      </c>
      <c r="H161" s="107" t="s">
        <v>288</v>
      </c>
      <c r="I161" s="109" t="s">
        <v>252</v>
      </c>
      <c r="J161" s="110" t="s">
        <v>252</v>
      </c>
      <c r="K161" s="111" t="s">
        <v>252</v>
      </c>
      <c r="L161" s="112" t="s">
        <v>252</v>
      </c>
      <c r="M161" s="137" t="s">
        <v>257</v>
      </c>
      <c r="N161" s="138">
        <v>11508</v>
      </c>
      <c r="O161" s="113"/>
      <c r="P161" s="113"/>
      <c r="Q161" s="114">
        <f>IF(O161="IVA Incluido",(N161/1.19),N161)</f>
        <v>11508</v>
      </c>
      <c r="R161" s="115">
        <f>IF(P161="Si tiene IVA",Q161*19%,0)</f>
        <v>0</v>
      </c>
      <c r="S161" s="115">
        <f>Q161+R161</f>
        <v>11508</v>
      </c>
      <c r="T161" s="115">
        <f>IF(B161="","",(N161*G161))</f>
        <v>11508</v>
      </c>
      <c r="U161" s="115">
        <f>IF(B161="","",(S161*G161))</f>
        <v>11508</v>
      </c>
      <c r="V161" s="116" t="s">
        <v>252</v>
      </c>
      <c r="W161" s="117" t="s">
        <v>252</v>
      </c>
      <c r="X161" s="117" t="s">
        <v>252</v>
      </c>
      <c r="Y161" s="117" t="s">
        <v>252</v>
      </c>
      <c r="Z161" s="139" t="s">
        <v>258</v>
      </c>
      <c r="AA161" s="140">
        <v>9528</v>
      </c>
      <c r="AB161" s="121" t="s">
        <v>198</v>
      </c>
      <c r="AC161" s="121" t="s">
        <v>192</v>
      </c>
      <c r="AD161" s="122">
        <f>IF(AB161="IVA Incluido",(AA161/1.19),AA161)</f>
        <v>9528</v>
      </c>
      <c r="AE161" s="123">
        <f>IF(AC161="Si tiene IVA",AD161*19%,0)</f>
        <v>1810.32</v>
      </c>
      <c r="AF161" s="123">
        <f>AD161+AE161</f>
        <v>11338.32</v>
      </c>
      <c r="AG161" s="123">
        <f>AD161</f>
        <v>9528</v>
      </c>
      <c r="AH161" s="123">
        <f>AF161</f>
        <v>11338.32</v>
      </c>
      <c r="AI161" s="124"/>
      <c r="AJ161" s="125"/>
      <c r="AK161" s="126"/>
      <c r="AL161" s="127"/>
      <c r="AM161" s="128"/>
      <c r="AN161" s="129"/>
      <c r="AO161" s="129"/>
      <c r="AP161" s="130"/>
      <c r="AQ161" s="131"/>
      <c r="AR161" s="132"/>
      <c r="AS161" s="132"/>
      <c r="AT161" s="132"/>
      <c r="AU161" s="132"/>
      <c r="AV161" s="133">
        <f t="shared" si="83"/>
        <v>11423</v>
      </c>
      <c r="AW161" s="133">
        <f t="shared" si="84"/>
        <v>11423</v>
      </c>
      <c r="AX161" s="133">
        <f t="shared" si="85"/>
        <v>120</v>
      </c>
      <c r="AY161" s="134">
        <f>IF(N161="","",(AX161/AW161))</f>
        <v>1.0505121246607721E-2</v>
      </c>
      <c r="AZ161" s="5"/>
      <c r="BA161" s="7">
        <f>COUNTA(M161,Z161,AM161)</f>
        <v>2</v>
      </c>
      <c r="BB161" s="7" t="s">
        <v>637</v>
      </c>
    </row>
    <row r="162" spans="1:54" ht="81">
      <c r="A162" s="105" t="s">
        <v>181</v>
      </c>
      <c r="B162" s="105" t="s">
        <v>241</v>
      </c>
      <c r="C162" s="105" t="s">
        <v>772</v>
      </c>
      <c r="D162" s="105" t="s">
        <v>775</v>
      </c>
      <c r="E162" s="106" t="s">
        <v>776</v>
      </c>
      <c r="F162" s="107" t="s">
        <v>185</v>
      </c>
      <c r="G162" s="108">
        <v>1</v>
      </c>
      <c r="H162" s="107" t="s">
        <v>288</v>
      </c>
      <c r="I162" s="109" t="s">
        <v>187</v>
      </c>
      <c r="J162" s="110">
        <v>46094</v>
      </c>
      <c r="K162" s="111" t="s">
        <v>277</v>
      </c>
      <c r="L162" s="112" t="s">
        <v>194</v>
      </c>
      <c r="M162" s="110" t="s">
        <v>278</v>
      </c>
      <c r="N162" s="113">
        <v>33076</v>
      </c>
      <c r="O162" s="113" t="s">
        <v>198</v>
      </c>
      <c r="P162" s="113" t="s">
        <v>192</v>
      </c>
      <c r="Q162" s="114">
        <f>IF(O162="IVA Incluido",(N162/1.19),N162)</f>
        <v>33076</v>
      </c>
      <c r="R162" s="115">
        <f>IF(P162="Si tiene IVA",Q162*19%,0)</f>
        <v>6284.4400000000005</v>
      </c>
      <c r="S162" s="115">
        <f>Q162+R162</f>
        <v>39360.44</v>
      </c>
      <c r="T162" s="115">
        <f>IF(B162="","",(N162*G162))</f>
        <v>33076</v>
      </c>
      <c r="U162" s="115">
        <f>IF(B162="","",(S162*G162))</f>
        <v>39360.44</v>
      </c>
      <c r="V162" s="116" t="s">
        <v>187</v>
      </c>
      <c r="W162" s="117">
        <v>46119</v>
      </c>
      <c r="X162" s="118" t="s">
        <v>389</v>
      </c>
      <c r="Y162" s="119" t="s">
        <v>194</v>
      </c>
      <c r="Z162" s="120" t="s">
        <v>300</v>
      </c>
      <c r="AA162" s="121">
        <v>31000</v>
      </c>
      <c r="AB162" s="121" t="s">
        <v>191</v>
      </c>
      <c r="AC162" s="121" t="s">
        <v>192</v>
      </c>
      <c r="AD162" s="122">
        <f>IF(AB162="IVA Incluido",(AA162/1.19),AA162)</f>
        <v>26050.420168067227</v>
      </c>
      <c r="AE162" s="123">
        <f>IF(AC162="Si tiene IVA",AD162*19%,0)</f>
        <v>4949.5798319327732</v>
      </c>
      <c r="AF162" s="123">
        <f>AD162+AE162</f>
        <v>31000</v>
      </c>
      <c r="AG162" s="123">
        <f>IF(O162="","",(AA162*G162))</f>
        <v>31000</v>
      </c>
      <c r="AH162" s="123">
        <f>IF(O162="","",(AF162*G162))</f>
        <v>31000</v>
      </c>
      <c r="AI162" s="124"/>
      <c r="AJ162" s="125"/>
      <c r="AK162" s="126"/>
      <c r="AL162" s="127"/>
      <c r="AM162" s="128" t="s">
        <v>258</v>
      </c>
      <c r="AN162" s="129">
        <v>27096</v>
      </c>
      <c r="AO162" s="129"/>
      <c r="AP162" s="130"/>
      <c r="AQ162" s="131">
        <f>AN162</f>
        <v>27096</v>
      </c>
      <c r="AR162" s="132">
        <f>AQ162*19%</f>
        <v>5148.24</v>
      </c>
      <c r="AS162" s="132">
        <f>AQ162+AR162</f>
        <v>32244.239999999998</v>
      </c>
      <c r="AT162" s="132">
        <f>AQ162</f>
        <v>27096</v>
      </c>
      <c r="AU162" s="132">
        <f>AS162</f>
        <v>32244.239999999998</v>
      </c>
      <c r="AV162" s="133">
        <f t="shared" si="83"/>
        <v>34202</v>
      </c>
      <c r="AW162" s="133">
        <f t="shared" si="84"/>
        <v>34202</v>
      </c>
      <c r="AX162" s="133">
        <f t="shared" si="85"/>
        <v>4511</v>
      </c>
      <c r="AY162" s="134">
        <f>IF(N162="","",(AX162/AW162))</f>
        <v>0.13189287176188527</v>
      </c>
      <c r="AZ162" s="5"/>
      <c r="BA162" s="7">
        <f>COUNTA(M162,Z162,AM162)</f>
        <v>3</v>
      </c>
      <c r="BB162" s="7"/>
    </row>
    <row r="163" spans="1:54" ht="297">
      <c r="A163" s="105" t="s">
        <v>252</v>
      </c>
      <c r="B163" s="105" t="s">
        <v>252</v>
      </c>
      <c r="C163" s="105" t="s">
        <v>252</v>
      </c>
      <c r="D163" s="105" t="s">
        <v>777</v>
      </c>
      <c r="E163" s="106" t="s">
        <v>778</v>
      </c>
      <c r="F163" s="107" t="s">
        <v>255</v>
      </c>
      <c r="G163" s="108">
        <v>1</v>
      </c>
      <c r="H163" s="107"/>
      <c r="I163" s="109"/>
      <c r="J163" s="110"/>
      <c r="K163" s="111"/>
      <c r="L163" s="112"/>
      <c r="M163" s="110"/>
      <c r="N163" s="113"/>
      <c r="O163" s="113"/>
      <c r="P163" s="113"/>
      <c r="Q163" s="114" t="s">
        <v>256</v>
      </c>
      <c r="R163" s="115" t="s">
        <v>256</v>
      </c>
      <c r="S163" s="115" t="s">
        <v>256</v>
      </c>
      <c r="T163" s="115" t="s">
        <v>256</v>
      </c>
      <c r="U163" s="115" t="s">
        <v>256</v>
      </c>
      <c r="V163" s="116" t="s">
        <v>252</v>
      </c>
      <c r="W163" s="117" t="s">
        <v>252</v>
      </c>
      <c r="X163" s="118" t="s">
        <v>252</v>
      </c>
      <c r="Y163" s="119" t="s">
        <v>252</v>
      </c>
      <c r="Z163" s="120" t="s">
        <v>257</v>
      </c>
      <c r="AA163" s="121" t="s">
        <v>252</v>
      </c>
      <c r="AB163" s="121" t="s">
        <v>252</v>
      </c>
      <c r="AC163" s="121" t="s">
        <v>252</v>
      </c>
      <c r="AD163" s="122" t="s">
        <v>252</v>
      </c>
      <c r="AE163" s="123" t="s">
        <v>252</v>
      </c>
      <c r="AF163" s="123">
        <f>AH163/1.19</f>
        <v>114031.0924369748</v>
      </c>
      <c r="AG163" s="123">
        <f>AF163*19%</f>
        <v>21665.907563025212</v>
      </c>
      <c r="AH163" s="123">
        <v>135697</v>
      </c>
      <c r="AI163" s="124" t="s">
        <v>252</v>
      </c>
      <c r="AJ163" s="125" t="s">
        <v>252</v>
      </c>
      <c r="AK163" s="126" t="s">
        <v>252</v>
      </c>
      <c r="AL163" s="127" t="s">
        <v>252</v>
      </c>
      <c r="AM163" s="128" t="s">
        <v>258</v>
      </c>
      <c r="AN163" s="129" t="s">
        <v>252</v>
      </c>
      <c r="AO163" s="129" t="s">
        <v>252</v>
      </c>
      <c r="AP163" s="130" t="s">
        <v>252</v>
      </c>
      <c r="AQ163" s="131">
        <v>112346</v>
      </c>
      <c r="AR163" s="132">
        <v>21346</v>
      </c>
      <c r="AS163" s="132">
        <v>133692</v>
      </c>
      <c r="AT163" s="132">
        <v>112346</v>
      </c>
      <c r="AU163" s="132">
        <v>133692</v>
      </c>
      <c r="AV163" s="133">
        <f t="shared" si="83"/>
        <v>123862</v>
      </c>
      <c r="AW163" s="133">
        <f t="shared" si="84"/>
        <v>123862</v>
      </c>
      <c r="AX163" s="133" t="str">
        <f t="shared" si="85"/>
        <v/>
      </c>
      <c r="AY163" s="134">
        <v>1.0500000000000001E-2</v>
      </c>
      <c r="AZ163" s="5"/>
      <c r="BA163" s="7"/>
      <c r="BB163" s="7"/>
    </row>
    <row r="164" spans="1:54" ht="297">
      <c r="A164" s="105" t="s">
        <v>252</v>
      </c>
      <c r="B164" s="105" t="s">
        <v>252</v>
      </c>
      <c r="C164" s="105" t="s">
        <v>252</v>
      </c>
      <c r="D164" s="105" t="s">
        <v>779</v>
      </c>
      <c r="E164" s="106" t="s">
        <v>780</v>
      </c>
      <c r="F164" s="107" t="s">
        <v>255</v>
      </c>
      <c r="G164" s="108">
        <v>1</v>
      </c>
      <c r="H164" s="107"/>
      <c r="I164" s="109"/>
      <c r="J164" s="110"/>
      <c r="K164" s="111"/>
      <c r="L164" s="112"/>
      <c r="M164" s="110"/>
      <c r="N164" s="113"/>
      <c r="O164" s="113"/>
      <c r="P164" s="113"/>
      <c r="Q164" s="114" t="s">
        <v>256</v>
      </c>
      <c r="R164" s="115" t="s">
        <v>256</v>
      </c>
      <c r="S164" s="115" t="s">
        <v>256</v>
      </c>
      <c r="T164" s="115" t="s">
        <v>256</v>
      </c>
      <c r="U164" s="115" t="s">
        <v>256</v>
      </c>
      <c r="V164" s="116" t="s">
        <v>252</v>
      </c>
      <c r="W164" s="117" t="s">
        <v>252</v>
      </c>
      <c r="X164" s="118" t="s">
        <v>252</v>
      </c>
      <c r="Y164" s="119" t="s">
        <v>252</v>
      </c>
      <c r="Z164" s="120" t="s">
        <v>257</v>
      </c>
      <c r="AA164" s="121" t="s">
        <v>252</v>
      </c>
      <c r="AB164" s="121" t="s">
        <v>252</v>
      </c>
      <c r="AC164" s="121" t="s">
        <v>252</v>
      </c>
      <c r="AD164" s="122" t="s">
        <v>252</v>
      </c>
      <c r="AE164" s="123" t="s">
        <v>252</v>
      </c>
      <c r="AF164" s="123">
        <f>AH164/1.19</f>
        <v>764858.82352941181</v>
      </c>
      <c r="AG164" s="123">
        <f>AF164*19%</f>
        <v>145323.17647058825</v>
      </c>
      <c r="AH164" s="123">
        <v>910182</v>
      </c>
      <c r="AI164" s="124" t="s">
        <v>252</v>
      </c>
      <c r="AJ164" s="125" t="s">
        <v>252</v>
      </c>
      <c r="AK164" s="126" t="s">
        <v>252</v>
      </c>
      <c r="AL164" s="127" t="s">
        <v>252</v>
      </c>
      <c r="AM164" s="128" t="s">
        <v>258</v>
      </c>
      <c r="AN164" s="129" t="s">
        <v>252</v>
      </c>
      <c r="AO164" s="129" t="s">
        <v>252</v>
      </c>
      <c r="AP164" s="130" t="s">
        <v>252</v>
      </c>
      <c r="AQ164" s="131">
        <v>753555</v>
      </c>
      <c r="AR164" s="132">
        <v>143175</v>
      </c>
      <c r="AS164" s="132">
        <v>896731</v>
      </c>
      <c r="AT164" s="132">
        <v>753555</v>
      </c>
      <c r="AU164" s="132">
        <v>896731</v>
      </c>
      <c r="AV164" s="133">
        <f t="shared" si="83"/>
        <v>830795</v>
      </c>
      <c r="AW164" s="133">
        <f t="shared" si="84"/>
        <v>830795</v>
      </c>
      <c r="AX164" s="133" t="str">
        <f t="shared" si="85"/>
        <v/>
      </c>
      <c r="AY164" s="134">
        <v>1.0500000000000001E-2</v>
      </c>
      <c r="AZ164" s="5"/>
      <c r="BA164" s="7"/>
      <c r="BB164" s="7"/>
    </row>
    <row r="165" spans="1:54" ht="81">
      <c r="A165" s="105" t="s">
        <v>181</v>
      </c>
      <c r="B165" s="105" t="s">
        <v>259</v>
      </c>
      <c r="C165" s="105">
        <v>14111530</v>
      </c>
      <c r="D165" s="105" t="s">
        <v>781</v>
      </c>
      <c r="E165" s="106" t="s">
        <v>782</v>
      </c>
      <c r="F165" s="107" t="s">
        <v>185</v>
      </c>
      <c r="G165" s="108">
        <v>1</v>
      </c>
      <c r="H165" s="107" t="s">
        <v>186</v>
      </c>
      <c r="I165" s="109" t="s">
        <v>187</v>
      </c>
      <c r="J165" s="110">
        <v>46090</v>
      </c>
      <c r="K165" s="111" t="s">
        <v>783</v>
      </c>
      <c r="L165" s="112" t="s">
        <v>194</v>
      </c>
      <c r="M165" s="110" t="s">
        <v>784</v>
      </c>
      <c r="N165" s="113">
        <v>3200</v>
      </c>
      <c r="O165" s="113" t="s">
        <v>191</v>
      </c>
      <c r="P165" s="113" t="s">
        <v>192</v>
      </c>
      <c r="Q165" s="114">
        <f>IF(O165="IVA Incluido",(N165/1.19),N165)</f>
        <v>2689.0756302521008</v>
      </c>
      <c r="R165" s="115">
        <f>IF(P165="Si tiene IVA",Q165*19%,0)</f>
        <v>510.92436974789916</v>
      </c>
      <c r="S165" s="115">
        <f>Q165+R165</f>
        <v>3200</v>
      </c>
      <c r="T165" s="115">
        <f>IF(B165="","",(N165*G165))</f>
        <v>3200</v>
      </c>
      <c r="U165" s="115">
        <f>IF(B165="","",(S165*G165))</f>
        <v>3200</v>
      </c>
      <c r="V165" s="116" t="s">
        <v>187</v>
      </c>
      <c r="W165" s="117">
        <v>46090</v>
      </c>
      <c r="X165" s="118" t="s">
        <v>266</v>
      </c>
      <c r="Y165" s="119" t="s">
        <v>194</v>
      </c>
      <c r="Z165" s="120" t="s">
        <v>785</v>
      </c>
      <c r="AA165" s="121">
        <v>3200</v>
      </c>
      <c r="AB165" s="121" t="s">
        <v>191</v>
      </c>
      <c r="AC165" s="121" t="s">
        <v>192</v>
      </c>
      <c r="AD165" s="122">
        <f>IF(AB165="IVA Incluido",(AA165/1.19),AA165)</f>
        <v>2689.0756302521008</v>
      </c>
      <c r="AE165" s="123">
        <f>IF(AC165="Si tiene IVA",AD165*19%,0)</f>
        <v>510.92436974789916</v>
      </c>
      <c r="AF165" s="123">
        <f>AD165+AE165</f>
        <v>3200</v>
      </c>
      <c r="AG165" s="123">
        <f>IF(O165="","",(AA165*G165))</f>
        <v>3200</v>
      </c>
      <c r="AH165" s="123">
        <f>IF(O165="","",(AF165*G165))</f>
        <v>3200</v>
      </c>
      <c r="AI165" s="124" t="s">
        <v>187</v>
      </c>
      <c r="AJ165" s="125">
        <v>46090</v>
      </c>
      <c r="AK165" s="126" t="s">
        <v>786</v>
      </c>
      <c r="AL165" s="127" t="s">
        <v>194</v>
      </c>
      <c r="AM165" s="128" t="s">
        <v>730</v>
      </c>
      <c r="AN165" s="129">
        <v>2500</v>
      </c>
      <c r="AO165" s="129" t="s">
        <v>191</v>
      </c>
      <c r="AP165" s="130" t="s">
        <v>192</v>
      </c>
      <c r="AQ165" s="131">
        <f>IF(AO165="IVA Incluido",(AN165/1.19),AN165)</f>
        <v>2100.840336134454</v>
      </c>
      <c r="AR165" s="132">
        <f>IF(AP165="Si tiene IVA",AQ165*19%,0)</f>
        <v>399.15966386554624</v>
      </c>
      <c r="AS165" s="132">
        <f>AQ165+AR165</f>
        <v>2500</v>
      </c>
      <c r="AT165" s="132">
        <f>IF(AB165="","",(AN165*G165))</f>
        <v>2500</v>
      </c>
      <c r="AU165" s="132">
        <f>IF(AB165="","",(AS165*G165))</f>
        <v>2500</v>
      </c>
      <c r="AV165" s="133">
        <f t="shared" si="83"/>
        <v>2967</v>
      </c>
      <c r="AW165" s="133">
        <f t="shared" si="84"/>
        <v>2967</v>
      </c>
      <c r="AX165" s="133">
        <f t="shared" si="85"/>
        <v>404</v>
      </c>
      <c r="AY165" s="134">
        <f>IF(N165="","",(AX165/AW165))</f>
        <v>0.13616447590158409</v>
      </c>
      <c r="AZ165" s="5"/>
      <c r="BA165" s="7">
        <f>COUNTA(M165,Z165,AM165)</f>
        <v>3</v>
      </c>
      <c r="BB165" s="7"/>
    </row>
    <row r="166" spans="1:54" ht="94.5">
      <c r="A166" s="105" t="s">
        <v>181</v>
      </c>
      <c r="B166" s="105" t="s">
        <v>259</v>
      </c>
      <c r="C166" s="105">
        <v>14111530</v>
      </c>
      <c r="D166" s="105" t="s">
        <v>787</v>
      </c>
      <c r="E166" s="106" t="s">
        <v>788</v>
      </c>
      <c r="F166" s="107" t="s">
        <v>185</v>
      </c>
      <c r="G166" s="108">
        <v>1</v>
      </c>
      <c r="H166" s="107" t="s">
        <v>186</v>
      </c>
      <c r="I166" s="109" t="s">
        <v>187</v>
      </c>
      <c r="J166" s="110">
        <v>46090</v>
      </c>
      <c r="K166" s="111" t="s">
        <v>789</v>
      </c>
      <c r="L166" s="112" t="s">
        <v>194</v>
      </c>
      <c r="M166" s="110" t="s">
        <v>790</v>
      </c>
      <c r="N166" s="113">
        <v>2126</v>
      </c>
      <c r="O166" s="113" t="s">
        <v>191</v>
      </c>
      <c r="P166" s="113" t="s">
        <v>192</v>
      </c>
      <c r="Q166" s="114">
        <f>IF(O166="IVA Incluido",(N166/1.19),N166)</f>
        <v>1786.5546218487395</v>
      </c>
      <c r="R166" s="115">
        <f>IF(P166="Si tiene IVA",Q166*19%,0)</f>
        <v>339.44537815126051</v>
      </c>
      <c r="S166" s="115">
        <f>Q166+R166</f>
        <v>2126</v>
      </c>
      <c r="T166" s="115">
        <f>IF(B166="","",(N166*G166))</f>
        <v>2126</v>
      </c>
      <c r="U166" s="115">
        <f>IF(B166="","",(S166*G166))</f>
        <v>2126</v>
      </c>
      <c r="V166" s="116" t="s">
        <v>187</v>
      </c>
      <c r="W166" s="117">
        <v>46090</v>
      </c>
      <c r="X166" s="118" t="s">
        <v>791</v>
      </c>
      <c r="Y166" s="119" t="s">
        <v>194</v>
      </c>
      <c r="Z166" s="120" t="s">
        <v>792</v>
      </c>
      <c r="AA166" s="121">
        <v>2500</v>
      </c>
      <c r="AB166" s="121" t="s">
        <v>191</v>
      </c>
      <c r="AC166" s="121" t="s">
        <v>192</v>
      </c>
      <c r="AD166" s="122">
        <f>IF(AB166="IVA Incluido",(AA166/1.19),AA166)</f>
        <v>2100.840336134454</v>
      </c>
      <c r="AE166" s="123">
        <f>IF(AC166="Si tiene IVA",AD166*19%,0)</f>
        <v>399.15966386554624</v>
      </c>
      <c r="AF166" s="123">
        <f>AD166+AE166</f>
        <v>2500</v>
      </c>
      <c r="AG166" s="123">
        <f>AD166</f>
        <v>2100.840336134454</v>
      </c>
      <c r="AH166" s="123">
        <f>IF(O166="","",(AF166*G166))</f>
        <v>2500</v>
      </c>
      <c r="AI166" s="124" t="s">
        <v>187</v>
      </c>
      <c r="AJ166" s="125">
        <v>46090</v>
      </c>
      <c r="AK166" s="126" t="s">
        <v>793</v>
      </c>
      <c r="AL166" s="127" t="s">
        <v>189</v>
      </c>
      <c r="AM166" s="128" t="s">
        <v>794</v>
      </c>
      <c r="AN166" s="129">
        <v>1785</v>
      </c>
      <c r="AO166" s="129" t="s">
        <v>191</v>
      </c>
      <c r="AP166" s="130" t="s">
        <v>192</v>
      </c>
      <c r="AQ166" s="131">
        <f>IF(AO166="IVA Incluido",(AN166/1.19),AN166)</f>
        <v>1500</v>
      </c>
      <c r="AR166" s="132">
        <f>IF(AP166="Si tiene IVA",AQ166*19%,0)</f>
        <v>285</v>
      </c>
      <c r="AS166" s="132">
        <f>AQ166+AR166</f>
        <v>1785</v>
      </c>
      <c r="AT166" s="132">
        <f>IF(AB166="","",(AN166*G166))</f>
        <v>1785</v>
      </c>
      <c r="AU166" s="132">
        <f>IF(AB166="","",(AS166*G166))</f>
        <v>1785</v>
      </c>
      <c r="AV166" s="133">
        <f t="shared" si="83"/>
        <v>2137</v>
      </c>
      <c r="AW166" s="133">
        <f t="shared" si="84"/>
        <v>2137</v>
      </c>
      <c r="AX166" s="133">
        <f t="shared" si="85"/>
        <v>358</v>
      </c>
      <c r="AY166" s="134">
        <f>IF(N166="","",(AX166/AW166))</f>
        <v>0.16752456715021058</v>
      </c>
      <c r="AZ166" s="5"/>
      <c r="BA166" s="7">
        <f>COUNTA(M166,Z166,AM166)</f>
        <v>3</v>
      </c>
      <c r="BB166" s="7"/>
    </row>
    <row r="167" spans="1:54" ht="67.5">
      <c r="A167" s="105" t="s">
        <v>181</v>
      </c>
      <c r="B167" s="105" t="s">
        <v>259</v>
      </c>
      <c r="C167" s="105">
        <v>14111519</v>
      </c>
      <c r="D167" s="105" t="s">
        <v>795</v>
      </c>
      <c r="E167" s="106" t="s">
        <v>796</v>
      </c>
      <c r="F167" s="107" t="s">
        <v>185</v>
      </c>
      <c r="G167" s="108">
        <v>1</v>
      </c>
      <c r="H167" s="107" t="s">
        <v>186</v>
      </c>
      <c r="I167" s="109" t="s">
        <v>200</v>
      </c>
      <c r="J167" s="110">
        <v>46090</v>
      </c>
      <c r="K167" s="111" t="s">
        <v>608</v>
      </c>
      <c r="L167" s="112" t="s">
        <v>189</v>
      </c>
      <c r="M167" s="110" t="s">
        <v>609</v>
      </c>
      <c r="N167" s="113">
        <v>6500</v>
      </c>
      <c r="O167" s="113" t="s">
        <v>191</v>
      </c>
      <c r="P167" s="113" t="s">
        <v>192</v>
      </c>
      <c r="Q167" s="114">
        <f>IF(O167="IVA Incluido",(N167/1.19),N167)</f>
        <v>5462.1848739495799</v>
      </c>
      <c r="R167" s="115">
        <f>IF(P167="Si tiene IVA",Q167*19%,0)</f>
        <v>1037.8151260504203</v>
      </c>
      <c r="S167" s="115">
        <f>Q167+R167</f>
        <v>6500</v>
      </c>
      <c r="T167" s="115">
        <f>IF(B167="","",(N167*G167))</f>
        <v>6500</v>
      </c>
      <c r="U167" s="115">
        <f>IF(B167="","",(S167*G167))</f>
        <v>6500</v>
      </c>
      <c r="V167" s="116" t="s">
        <v>200</v>
      </c>
      <c r="W167" s="117">
        <v>46090</v>
      </c>
      <c r="X167" s="118" t="s">
        <v>747</v>
      </c>
      <c r="Y167" s="119" t="s">
        <v>189</v>
      </c>
      <c r="Z167" s="120" t="s">
        <v>748</v>
      </c>
      <c r="AA167" s="121">
        <v>5800</v>
      </c>
      <c r="AB167" s="121" t="s">
        <v>191</v>
      </c>
      <c r="AC167" s="121" t="s">
        <v>192</v>
      </c>
      <c r="AD167" s="122">
        <f>IF(AB167="IVA Incluido",(AA167/1.19),AA167)</f>
        <v>4873.9495798319331</v>
      </c>
      <c r="AE167" s="123">
        <f>IF(AC167="Si tiene IVA",AD167*19%,0)</f>
        <v>926.05042016806726</v>
      </c>
      <c r="AF167" s="123">
        <f>AD167+AE167</f>
        <v>5800</v>
      </c>
      <c r="AG167" s="123">
        <f>AD167</f>
        <v>4873.9495798319331</v>
      </c>
      <c r="AH167" s="123">
        <f>IF(O167="","",(AF167*G167))</f>
        <v>5800</v>
      </c>
      <c r="AI167" s="124" t="s">
        <v>200</v>
      </c>
      <c r="AJ167" s="125">
        <v>46090</v>
      </c>
      <c r="AK167" s="126" t="s">
        <v>264</v>
      </c>
      <c r="AL167" s="127" t="s">
        <v>194</v>
      </c>
      <c r="AM167" s="128" t="s">
        <v>265</v>
      </c>
      <c r="AN167" s="129">
        <v>6050</v>
      </c>
      <c r="AO167" s="129" t="s">
        <v>198</v>
      </c>
      <c r="AP167" s="130" t="s">
        <v>192</v>
      </c>
      <c r="AQ167" s="131">
        <f>IF(AO167="IVA Incluido",(AN167/1.19),AN167)</f>
        <v>6050</v>
      </c>
      <c r="AR167" s="132">
        <f>IF(AP167="Si tiene IVA",AQ167*19%,0)</f>
        <v>1149.5</v>
      </c>
      <c r="AS167" s="132">
        <f>AQ167+AR167</f>
        <v>7199.5</v>
      </c>
      <c r="AT167" s="132">
        <f>IF(AB167="","",(AN167*G167))</f>
        <v>6050</v>
      </c>
      <c r="AU167" s="132">
        <f>IF(AB167="","",(AS167*G167))</f>
        <v>7199.5</v>
      </c>
      <c r="AV167" s="133">
        <f t="shared" si="83"/>
        <v>6500</v>
      </c>
      <c r="AW167" s="133">
        <f t="shared" si="84"/>
        <v>6500</v>
      </c>
      <c r="AX167" s="133">
        <f t="shared" si="85"/>
        <v>700</v>
      </c>
      <c r="AY167" s="134">
        <f>IF(N167="","",(AX167/AW167))</f>
        <v>0.1076923076923077</v>
      </c>
      <c r="AZ167" s="5"/>
      <c r="BA167" s="7">
        <f>COUNTA(M167,Z167,AM167)</f>
        <v>3</v>
      </c>
      <c r="BB167" s="7"/>
    </row>
    <row r="168" spans="1:54" ht="297">
      <c r="A168" s="105" t="s">
        <v>252</v>
      </c>
      <c r="B168" s="105" t="s">
        <v>252</v>
      </c>
      <c r="C168" s="105" t="s">
        <v>252</v>
      </c>
      <c r="D168" s="105" t="s">
        <v>797</v>
      </c>
      <c r="E168" s="106" t="s">
        <v>798</v>
      </c>
      <c r="F168" s="107" t="s">
        <v>255</v>
      </c>
      <c r="G168" s="108">
        <v>1</v>
      </c>
      <c r="H168" s="107"/>
      <c r="I168" s="109"/>
      <c r="J168" s="110"/>
      <c r="K168" s="111"/>
      <c r="L168" s="112"/>
      <c r="M168" s="110"/>
      <c r="N168" s="113"/>
      <c r="O168" s="113"/>
      <c r="P168" s="113"/>
      <c r="Q168" s="114" t="s">
        <v>256</v>
      </c>
      <c r="R168" s="115" t="s">
        <v>256</v>
      </c>
      <c r="S168" s="115" t="s">
        <v>256</v>
      </c>
      <c r="T168" s="115" t="s">
        <v>256</v>
      </c>
      <c r="U168" s="115" t="s">
        <v>256</v>
      </c>
      <c r="V168" s="116" t="s">
        <v>252</v>
      </c>
      <c r="W168" s="117" t="s">
        <v>252</v>
      </c>
      <c r="X168" s="118" t="s">
        <v>252</v>
      </c>
      <c r="Y168" s="119" t="s">
        <v>252</v>
      </c>
      <c r="Z168" s="120" t="s">
        <v>257</v>
      </c>
      <c r="AA168" s="121" t="s">
        <v>252</v>
      </c>
      <c r="AB168" s="121" t="s">
        <v>252</v>
      </c>
      <c r="AC168" s="121" t="s">
        <v>252</v>
      </c>
      <c r="AD168" s="122" t="s">
        <v>252</v>
      </c>
      <c r="AE168" s="123" t="s">
        <v>252</v>
      </c>
      <c r="AF168" s="123">
        <f>AH168/1.19</f>
        <v>133251.26050420169</v>
      </c>
      <c r="AG168" s="123">
        <f>AF168*19%</f>
        <v>25317.739495798323</v>
      </c>
      <c r="AH168" s="123">
        <v>158569</v>
      </c>
      <c r="AI168" s="124" t="s">
        <v>252</v>
      </c>
      <c r="AJ168" s="125" t="s">
        <v>252</v>
      </c>
      <c r="AK168" s="126" t="s">
        <v>252</v>
      </c>
      <c r="AL168" s="127" t="s">
        <v>252</v>
      </c>
      <c r="AM168" s="128" t="s">
        <v>258</v>
      </c>
      <c r="AN168" s="129" t="s">
        <v>252</v>
      </c>
      <c r="AO168" s="129" t="s">
        <v>252</v>
      </c>
      <c r="AP168" s="130" t="s">
        <v>252</v>
      </c>
      <c r="AQ168" s="131">
        <v>129389</v>
      </c>
      <c r="AR168" s="132">
        <v>24584</v>
      </c>
      <c r="AS168" s="132">
        <v>153972</v>
      </c>
      <c r="AT168" s="132">
        <v>129389</v>
      </c>
      <c r="AU168" s="132">
        <v>153972</v>
      </c>
      <c r="AV168" s="133">
        <f t="shared" si="83"/>
        <v>143612</v>
      </c>
      <c r="AW168" s="133">
        <f t="shared" si="84"/>
        <v>143612</v>
      </c>
      <c r="AX168" s="133" t="str">
        <f t="shared" si="85"/>
        <v/>
      </c>
      <c r="AY168" s="134">
        <v>2.0799999999999999E-2</v>
      </c>
      <c r="AZ168" s="5"/>
      <c r="BA168" s="7"/>
      <c r="BB168" s="7"/>
    </row>
    <row r="169" spans="1:54" ht="67.5">
      <c r="A169" s="105" t="s">
        <v>181</v>
      </c>
      <c r="B169" s="105" t="s">
        <v>259</v>
      </c>
      <c r="C169" s="105"/>
      <c r="D169" s="105" t="s">
        <v>799</v>
      </c>
      <c r="E169" s="106" t="s">
        <v>800</v>
      </c>
      <c r="F169" s="107" t="s">
        <v>185</v>
      </c>
      <c r="G169" s="108">
        <v>1</v>
      </c>
      <c r="H169" s="107" t="s">
        <v>186</v>
      </c>
      <c r="I169" s="109" t="s">
        <v>187</v>
      </c>
      <c r="J169" s="110">
        <v>46090</v>
      </c>
      <c r="K169" s="111" t="s">
        <v>608</v>
      </c>
      <c r="L169" s="112" t="s">
        <v>194</v>
      </c>
      <c r="M169" s="110" t="s">
        <v>609</v>
      </c>
      <c r="N169" s="113">
        <v>12500</v>
      </c>
      <c r="O169" s="113" t="s">
        <v>198</v>
      </c>
      <c r="P169" s="113" t="s">
        <v>192</v>
      </c>
      <c r="Q169" s="114">
        <f t="shared" ref="Q169:Q184" si="103">IF(O169="IVA Incluido",(N169/1.19),N169)</f>
        <v>12500</v>
      </c>
      <c r="R169" s="115">
        <f t="shared" ref="R169:R184" si="104">IF(P169="Si tiene IVA",Q169*19%,0)</f>
        <v>2375</v>
      </c>
      <c r="S169" s="115">
        <f t="shared" ref="S169:S184" si="105">Q169+R169</f>
        <v>14875</v>
      </c>
      <c r="T169" s="115">
        <f>IF(B169="","",(N169*G169))</f>
        <v>12500</v>
      </c>
      <c r="U169" s="115">
        <f t="shared" ref="U169:U184" si="106">IF(B169="","",(S169*G169))</f>
        <v>14875</v>
      </c>
      <c r="V169" s="116" t="s">
        <v>187</v>
      </c>
      <c r="W169" s="117">
        <v>46090</v>
      </c>
      <c r="X169" s="118" t="s">
        <v>801</v>
      </c>
      <c r="Y169" s="119" t="s">
        <v>194</v>
      </c>
      <c r="Z169" s="120" t="s">
        <v>802</v>
      </c>
      <c r="AA169" s="121">
        <v>12600</v>
      </c>
      <c r="AB169" s="121" t="s">
        <v>191</v>
      </c>
      <c r="AC169" s="121" t="s">
        <v>192</v>
      </c>
      <c r="AD169" s="122">
        <f t="shared" ref="AD169:AD184" si="107">IF(AB169="IVA Incluido",(AA169/1.19),AA169)</f>
        <v>10588.235294117647</v>
      </c>
      <c r="AE169" s="123">
        <f t="shared" ref="AE169:AE184" si="108">IF(AC169="Si tiene IVA",AD169*19%,0)</f>
        <v>2011.7647058823529</v>
      </c>
      <c r="AF169" s="123">
        <f t="shared" ref="AF169:AF184" si="109">AD169+AE169</f>
        <v>12600</v>
      </c>
      <c r="AG169" s="123">
        <f>IF(O169="","",(AA169*G169))</f>
        <v>12600</v>
      </c>
      <c r="AH169" s="123">
        <f t="shared" ref="AH169:AH184" si="110">IF(O169="","",(AF169*G169))</f>
        <v>12600</v>
      </c>
      <c r="AI169" s="124" t="s">
        <v>187</v>
      </c>
      <c r="AJ169" s="125">
        <v>46090</v>
      </c>
      <c r="AK169" s="126" t="s">
        <v>803</v>
      </c>
      <c r="AL169" s="127" t="s">
        <v>194</v>
      </c>
      <c r="AM169" s="128" t="s">
        <v>804</v>
      </c>
      <c r="AN169" s="129">
        <v>12000</v>
      </c>
      <c r="AO169" s="129" t="s">
        <v>191</v>
      </c>
      <c r="AP169" s="130" t="s">
        <v>192</v>
      </c>
      <c r="AQ169" s="131">
        <f t="shared" ref="AQ169:AQ184" si="111">IF(AO169="IVA Incluido",(AN169/1.19),AN169)</f>
        <v>10084.033613445379</v>
      </c>
      <c r="AR169" s="132">
        <f t="shared" ref="AR169:AR184" si="112">IF(AP169="Si tiene IVA",AQ169*19%,0)</f>
        <v>1915.966386554622</v>
      </c>
      <c r="AS169" s="132">
        <f t="shared" ref="AS169:AS184" si="113">AQ169+AR169</f>
        <v>12000.000000000002</v>
      </c>
      <c r="AT169" s="132">
        <f>IF(AB169="","",(AN169*G169))</f>
        <v>12000</v>
      </c>
      <c r="AU169" s="132">
        <f t="shared" ref="AU169:AU184" si="114">IF(AB169="","",(AS169*G169))</f>
        <v>12000.000000000002</v>
      </c>
      <c r="AV169" s="133">
        <f t="shared" si="83"/>
        <v>13158</v>
      </c>
      <c r="AW169" s="133">
        <f t="shared" si="84"/>
        <v>13158</v>
      </c>
      <c r="AX169" s="133">
        <f t="shared" si="85"/>
        <v>1517</v>
      </c>
      <c r="AY169" s="134">
        <f t="shared" ref="AY169:AY184" si="115">IF(N169="","",(AX169/AW169))</f>
        <v>0.11529107767137863</v>
      </c>
      <c r="AZ169" s="5"/>
      <c r="BA169" s="7">
        <f t="shared" ref="BA169:BA184" si="116">COUNTA(M169,Z169,AM169)</f>
        <v>3</v>
      </c>
      <c r="BB169" s="7"/>
    </row>
    <row r="170" spans="1:54" ht="67.5">
      <c r="A170" s="105" t="s">
        <v>181</v>
      </c>
      <c r="B170" s="105" t="s">
        <v>259</v>
      </c>
      <c r="C170" s="105"/>
      <c r="D170" s="105" t="s">
        <v>805</v>
      </c>
      <c r="E170" s="106" t="s">
        <v>806</v>
      </c>
      <c r="F170" s="107" t="s">
        <v>185</v>
      </c>
      <c r="G170" s="108">
        <v>1</v>
      </c>
      <c r="H170" s="107" t="s">
        <v>186</v>
      </c>
      <c r="I170" s="109" t="s">
        <v>187</v>
      </c>
      <c r="J170" s="110">
        <v>46090</v>
      </c>
      <c r="K170" s="111" t="s">
        <v>608</v>
      </c>
      <c r="L170" s="112" t="s">
        <v>194</v>
      </c>
      <c r="M170" s="110" t="s">
        <v>609</v>
      </c>
      <c r="N170" s="113">
        <v>1000</v>
      </c>
      <c r="O170" s="113" t="s">
        <v>198</v>
      </c>
      <c r="P170" s="113" t="s">
        <v>192</v>
      </c>
      <c r="Q170" s="114">
        <f t="shared" si="103"/>
        <v>1000</v>
      </c>
      <c r="R170" s="115">
        <f t="shared" si="104"/>
        <v>190</v>
      </c>
      <c r="S170" s="115">
        <f t="shared" si="105"/>
        <v>1190</v>
      </c>
      <c r="T170" s="115">
        <f>IF(B170="","",(N170*G170))</f>
        <v>1000</v>
      </c>
      <c r="U170" s="115">
        <f t="shared" si="106"/>
        <v>1190</v>
      </c>
      <c r="V170" s="116" t="s">
        <v>187</v>
      </c>
      <c r="W170" s="117">
        <v>46090</v>
      </c>
      <c r="X170" s="118" t="s">
        <v>807</v>
      </c>
      <c r="Y170" s="119" t="s">
        <v>194</v>
      </c>
      <c r="Z170" s="120" t="s">
        <v>808</v>
      </c>
      <c r="AA170" s="121">
        <v>1671</v>
      </c>
      <c r="AB170" s="121" t="s">
        <v>191</v>
      </c>
      <c r="AC170" s="121" t="s">
        <v>192</v>
      </c>
      <c r="AD170" s="122">
        <f t="shared" si="107"/>
        <v>1404.201680672269</v>
      </c>
      <c r="AE170" s="123">
        <f t="shared" si="108"/>
        <v>266.79831932773112</v>
      </c>
      <c r="AF170" s="123">
        <f t="shared" si="109"/>
        <v>1671.0000000000002</v>
      </c>
      <c r="AG170" s="123">
        <f>IF(O170="","",(AA170*G170))</f>
        <v>1671</v>
      </c>
      <c r="AH170" s="123">
        <f t="shared" si="110"/>
        <v>1671.0000000000002</v>
      </c>
      <c r="AI170" s="124" t="s">
        <v>187</v>
      </c>
      <c r="AJ170" s="125">
        <v>46090</v>
      </c>
      <c r="AK170" s="126" t="s">
        <v>809</v>
      </c>
      <c r="AL170" s="127" t="s">
        <v>194</v>
      </c>
      <c r="AM170" s="128" t="s">
        <v>784</v>
      </c>
      <c r="AN170" s="129">
        <v>1400</v>
      </c>
      <c r="AO170" s="129" t="s">
        <v>191</v>
      </c>
      <c r="AP170" s="130" t="s">
        <v>192</v>
      </c>
      <c r="AQ170" s="131">
        <f t="shared" si="111"/>
        <v>1176.4705882352941</v>
      </c>
      <c r="AR170" s="132">
        <f t="shared" si="112"/>
        <v>223.52941176470588</v>
      </c>
      <c r="AS170" s="132">
        <f t="shared" si="113"/>
        <v>1400</v>
      </c>
      <c r="AT170" s="132">
        <f>IF(AB170="","",(AN170*G170))</f>
        <v>1400</v>
      </c>
      <c r="AU170" s="132">
        <f t="shared" si="114"/>
        <v>1400</v>
      </c>
      <c r="AV170" s="133">
        <f t="shared" si="83"/>
        <v>1420</v>
      </c>
      <c r="AW170" s="133">
        <f t="shared" si="84"/>
        <v>1420</v>
      </c>
      <c r="AX170" s="133">
        <f t="shared" si="85"/>
        <v>241</v>
      </c>
      <c r="AY170" s="134">
        <f t="shared" si="115"/>
        <v>0.16971830985915493</v>
      </c>
      <c r="AZ170" s="5"/>
      <c r="BA170" s="7">
        <f t="shared" si="116"/>
        <v>3</v>
      </c>
      <c r="BB170" s="7"/>
    </row>
    <row r="171" spans="1:54" ht="67.5">
      <c r="A171" s="105" t="s">
        <v>181</v>
      </c>
      <c r="B171" s="105" t="s">
        <v>259</v>
      </c>
      <c r="C171" s="105"/>
      <c r="D171" s="105" t="s">
        <v>810</v>
      </c>
      <c r="E171" s="106" t="s">
        <v>811</v>
      </c>
      <c r="F171" s="107" t="s">
        <v>185</v>
      </c>
      <c r="G171" s="108">
        <v>1</v>
      </c>
      <c r="H171" s="107" t="s">
        <v>186</v>
      </c>
      <c r="I171" s="109" t="s">
        <v>187</v>
      </c>
      <c r="J171" s="110">
        <v>46090</v>
      </c>
      <c r="K171" s="111" t="s">
        <v>608</v>
      </c>
      <c r="L171" s="112" t="s">
        <v>194</v>
      </c>
      <c r="M171" s="110" t="s">
        <v>609</v>
      </c>
      <c r="N171" s="113">
        <v>3600</v>
      </c>
      <c r="O171" s="113" t="s">
        <v>198</v>
      </c>
      <c r="P171" s="113" t="s">
        <v>192</v>
      </c>
      <c r="Q171" s="114">
        <f t="shared" si="103"/>
        <v>3600</v>
      </c>
      <c r="R171" s="115">
        <f t="shared" si="104"/>
        <v>684</v>
      </c>
      <c r="S171" s="115">
        <f t="shared" si="105"/>
        <v>4284</v>
      </c>
      <c r="T171" s="115">
        <f>IF(B171="","",(N171*G171))</f>
        <v>3600</v>
      </c>
      <c r="U171" s="115">
        <f t="shared" si="106"/>
        <v>4284</v>
      </c>
      <c r="V171" s="116" t="s">
        <v>187</v>
      </c>
      <c r="W171" s="117">
        <v>46090</v>
      </c>
      <c r="X171" s="118" t="s">
        <v>812</v>
      </c>
      <c r="Y171" s="119" t="s">
        <v>194</v>
      </c>
      <c r="Z171" s="120" t="s">
        <v>813</v>
      </c>
      <c r="AA171" s="121">
        <v>3000</v>
      </c>
      <c r="AB171" s="121" t="s">
        <v>191</v>
      </c>
      <c r="AC171" s="121" t="s">
        <v>192</v>
      </c>
      <c r="AD171" s="122">
        <f t="shared" si="107"/>
        <v>2521.0084033613448</v>
      </c>
      <c r="AE171" s="123">
        <f t="shared" si="108"/>
        <v>478.99159663865549</v>
      </c>
      <c r="AF171" s="123">
        <f t="shared" si="109"/>
        <v>3000.0000000000005</v>
      </c>
      <c r="AG171" s="123">
        <f>IF(O171="","",(AA171*G171))</f>
        <v>3000</v>
      </c>
      <c r="AH171" s="123">
        <f t="shared" si="110"/>
        <v>3000.0000000000005</v>
      </c>
      <c r="AI171" s="124" t="s">
        <v>187</v>
      </c>
      <c r="AJ171" s="125">
        <v>46090</v>
      </c>
      <c r="AK171" s="126" t="s">
        <v>266</v>
      </c>
      <c r="AL171" s="127" t="s">
        <v>194</v>
      </c>
      <c r="AM171" s="128" t="s">
        <v>814</v>
      </c>
      <c r="AN171" s="129">
        <v>3500</v>
      </c>
      <c r="AO171" s="129" t="s">
        <v>191</v>
      </c>
      <c r="AP171" s="130" t="s">
        <v>192</v>
      </c>
      <c r="AQ171" s="131">
        <f t="shared" si="111"/>
        <v>2941.1764705882356</v>
      </c>
      <c r="AR171" s="132">
        <f t="shared" si="112"/>
        <v>558.82352941176475</v>
      </c>
      <c r="AS171" s="132">
        <f t="shared" si="113"/>
        <v>3500.0000000000005</v>
      </c>
      <c r="AT171" s="132">
        <f>IF(AB171="","",(AN171*G171))</f>
        <v>3500</v>
      </c>
      <c r="AU171" s="132">
        <f t="shared" si="114"/>
        <v>3500.0000000000005</v>
      </c>
      <c r="AV171" s="133">
        <f t="shared" si="83"/>
        <v>3595</v>
      </c>
      <c r="AW171" s="133">
        <f t="shared" si="84"/>
        <v>3595</v>
      </c>
      <c r="AX171" s="133">
        <f t="shared" si="85"/>
        <v>647</v>
      </c>
      <c r="AY171" s="134">
        <f t="shared" si="115"/>
        <v>0.1799721835883171</v>
      </c>
      <c r="AZ171" s="5"/>
      <c r="BA171" s="7">
        <f t="shared" si="116"/>
        <v>3</v>
      </c>
      <c r="BB171" s="7"/>
    </row>
    <row r="172" spans="1:54" ht="67.5">
      <c r="A172" s="105" t="s">
        <v>181</v>
      </c>
      <c r="B172" s="105" t="s">
        <v>259</v>
      </c>
      <c r="C172" s="105"/>
      <c r="D172" s="105" t="s">
        <v>815</v>
      </c>
      <c r="E172" s="106" t="s">
        <v>816</v>
      </c>
      <c r="F172" s="107" t="s">
        <v>185</v>
      </c>
      <c r="G172" s="108">
        <v>1</v>
      </c>
      <c r="H172" s="107" t="s">
        <v>186</v>
      </c>
      <c r="I172" s="109" t="s">
        <v>187</v>
      </c>
      <c r="J172" s="110">
        <v>46090</v>
      </c>
      <c r="K172" s="111" t="s">
        <v>608</v>
      </c>
      <c r="L172" s="112" t="s">
        <v>194</v>
      </c>
      <c r="M172" s="110" t="s">
        <v>609</v>
      </c>
      <c r="N172" s="113">
        <v>3699</v>
      </c>
      <c r="O172" s="113" t="s">
        <v>198</v>
      </c>
      <c r="P172" s="113" t="s">
        <v>192</v>
      </c>
      <c r="Q172" s="114">
        <f t="shared" si="103"/>
        <v>3699</v>
      </c>
      <c r="R172" s="115">
        <f t="shared" si="104"/>
        <v>702.81000000000006</v>
      </c>
      <c r="S172" s="115">
        <f t="shared" si="105"/>
        <v>4401.8100000000004</v>
      </c>
      <c r="T172" s="115">
        <f>IF(B172="","",(N172*G172))</f>
        <v>3699</v>
      </c>
      <c r="U172" s="115">
        <f t="shared" si="106"/>
        <v>4401.8100000000004</v>
      </c>
      <c r="V172" s="116" t="s">
        <v>187</v>
      </c>
      <c r="W172" s="117">
        <v>46090</v>
      </c>
      <c r="X172" s="118" t="s">
        <v>747</v>
      </c>
      <c r="Y172" s="119" t="s">
        <v>194</v>
      </c>
      <c r="Z172" s="120" t="s">
        <v>748</v>
      </c>
      <c r="AA172" s="121">
        <v>3900</v>
      </c>
      <c r="AB172" s="121" t="s">
        <v>191</v>
      </c>
      <c r="AC172" s="121" t="s">
        <v>192</v>
      </c>
      <c r="AD172" s="122">
        <f t="shared" si="107"/>
        <v>3277.3109243697481</v>
      </c>
      <c r="AE172" s="123">
        <f t="shared" si="108"/>
        <v>622.6890756302522</v>
      </c>
      <c r="AF172" s="123">
        <f t="shared" si="109"/>
        <v>3900.0000000000005</v>
      </c>
      <c r="AG172" s="123">
        <f>IF(O172="","",(AA172*G172))</f>
        <v>3900</v>
      </c>
      <c r="AH172" s="123">
        <f t="shared" si="110"/>
        <v>3900.0000000000005</v>
      </c>
      <c r="AI172" s="124" t="s">
        <v>187</v>
      </c>
      <c r="AJ172" s="125">
        <v>46090</v>
      </c>
      <c r="AK172" s="126" t="s">
        <v>266</v>
      </c>
      <c r="AL172" s="127" t="s">
        <v>194</v>
      </c>
      <c r="AM172" s="128" t="s">
        <v>814</v>
      </c>
      <c r="AN172" s="129">
        <v>4500</v>
      </c>
      <c r="AO172" s="129" t="s">
        <v>191</v>
      </c>
      <c r="AP172" s="130" t="s">
        <v>192</v>
      </c>
      <c r="AQ172" s="131">
        <f t="shared" si="111"/>
        <v>3781.5126050420172</v>
      </c>
      <c r="AR172" s="132">
        <f t="shared" si="112"/>
        <v>718.48739495798327</v>
      </c>
      <c r="AS172" s="132">
        <f t="shared" si="113"/>
        <v>4500</v>
      </c>
      <c r="AT172" s="132">
        <f>IF(AB172="","",(AN172*G172))</f>
        <v>4500</v>
      </c>
      <c r="AU172" s="132">
        <f t="shared" si="114"/>
        <v>4500</v>
      </c>
      <c r="AV172" s="133">
        <f t="shared" si="83"/>
        <v>4267</v>
      </c>
      <c r="AW172" s="133">
        <f t="shared" si="84"/>
        <v>4267</v>
      </c>
      <c r="AX172" s="133">
        <f t="shared" si="85"/>
        <v>322</v>
      </c>
      <c r="AY172" s="134">
        <f t="shared" si="115"/>
        <v>7.5462854464494966E-2</v>
      </c>
      <c r="AZ172" s="5"/>
      <c r="BA172" s="7">
        <f t="shared" si="116"/>
        <v>3</v>
      </c>
      <c r="BB172" s="7"/>
    </row>
    <row r="173" spans="1:54" ht="94.5">
      <c r="A173" s="105" t="s">
        <v>181</v>
      </c>
      <c r="B173" s="105" t="s">
        <v>259</v>
      </c>
      <c r="C173" s="105"/>
      <c r="D173" s="105" t="s">
        <v>817</v>
      </c>
      <c r="E173" s="106" t="s">
        <v>818</v>
      </c>
      <c r="F173" s="107" t="s">
        <v>185</v>
      </c>
      <c r="G173" s="108">
        <v>1</v>
      </c>
      <c r="H173" s="107" t="s">
        <v>186</v>
      </c>
      <c r="I173" s="109" t="s">
        <v>187</v>
      </c>
      <c r="J173" s="110">
        <v>46090</v>
      </c>
      <c r="K173" s="111" t="s">
        <v>819</v>
      </c>
      <c r="L173" s="112" t="s">
        <v>194</v>
      </c>
      <c r="M173" s="110" t="s">
        <v>820</v>
      </c>
      <c r="N173" s="113">
        <v>40000</v>
      </c>
      <c r="O173" s="113" t="s">
        <v>191</v>
      </c>
      <c r="P173" s="113" t="s">
        <v>192</v>
      </c>
      <c r="Q173" s="114">
        <f t="shared" si="103"/>
        <v>33613.445378151264</v>
      </c>
      <c r="R173" s="115">
        <f t="shared" si="104"/>
        <v>6386.5546218487398</v>
      </c>
      <c r="S173" s="115">
        <f t="shared" si="105"/>
        <v>40000</v>
      </c>
      <c r="T173" s="115">
        <f>IF(R173="IVA Incluido",(Q173/1.19),Q173)</f>
        <v>33613.445378151264</v>
      </c>
      <c r="U173" s="115">
        <f t="shared" si="106"/>
        <v>40000</v>
      </c>
      <c r="V173" s="116" t="s">
        <v>187</v>
      </c>
      <c r="W173" s="117">
        <v>46090</v>
      </c>
      <c r="X173" s="118" t="s">
        <v>821</v>
      </c>
      <c r="Y173" s="119" t="s">
        <v>194</v>
      </c>
      <c r="Z173" s="120" t="s">
        <v>822</v>
      </c>
      <c r="AA173" s="121">
        <v>32000</v>
      </c>
      <c r="AB173" s="121" t="s">
        <v>191</v>
      </c>
      <c r="AC173" s="121" t="s">
        <v>192</v>
      </c>
      <c r="AD173" s="122">
        <f t="shared" si="107"/>
        <v>26890.756302521011</v>
      </c>
      <c r="AE173" s="123">
        <f t="shared" si="108"/>
        <v>5109.2436974789925</v>
      </c>
      <c r="AF173" s="123">
        <f t="shared" si="109"/>
        <v>32000.000000000004</v>
      </c>
      <c r="AG173" s="123">
        <f>IF(R173="IVA Incluido",(Q173/1.19),Q173)</f>
        <v>33613.445378151264</v>
      </c>
      <c r="AH173" s="123">
        <f t="shared" si="110"/>
        <v>32000.000000000004</v>
      </c>
      <c r="AI173" s="124" t="s">
        <v>187</v>
      </c>
      <c r="AJ173" s="125">
        <v>46090</v>
      </c>
      <c r="AK173" s="126" t="s">
        <v>823</v>
      </c>
      <c r="AL173" s="127" t="s">
        <v>194</v>
      </c>
      <c r="AM173" s="128" t="s">
        <v>824</v>
      </c>
      <c r="AN173" s="129">
        <v>45000</v>
      </c>
      <c r="AO173" s="129" t="s">
        <v>191</v>
      </c>
      <c r="AP173" s="130" t="s">
        <v>192</v>
      </c>
      <c r="AQ173" s="131">
        <f t="shared" si="111"/>
        <v>37815.126050420171</v>
      </c>
      <c r="AR173" s="132">
        <f t="shared" si="112"/>
        <v>7184.8739495798327</v>
      </c>
      <c r="AS173" s="132">
        <f t="shared" si="113"/>
        <v>45000</v>
      </c>
      <c r="AT173" s="132">
        <f>AQ173</f>
        <v>37815.126050420171</v>
      </c>
      <c r="AU173" s="132">
        <f t="shared" si="114"/>
        <v>45000</v>
      </c>
      <c r="AV173" s="133">
        <f t="shared" si="83"/>
        <v>39000</v>
      </c>
      <c r="AW173" s="133">
        <f t="shared" si="84"/>
        <v>39000</v>
      </c>
      <c r="AX173" s="133">
        <f t="shared" si="85"/>
        <v>6557</v>
      </c>
      <c r="AY173" s="134">
        <f t="shared" si="115"/>
        <v>0.16812820512820512</v>
      </c>
      <c r="AZ173" s="5"/>
      <c r="BA173" s="7">
        <f t="shared" si="116"/>
        <v>3</v>
      </c>
      <c r="BB173" s="7"/>
    </row>
    <row r="174" spans="1:54" ht="40.5">
      <c r="A174" s="105" t="s">
        <v>181</v>
      </c>
      <c r="B174" s="105" t="s">
        <v>259</v>
      </c>
      <c r="C174" s="105">
        <v>60121116</v>
      </c>
      <c r="D174" s="105" t="s">
        <v>825</v>
      </c>
      <c r="E174" s="106" t="s">
        <v>826</v>
      </c>
      <c r="F174" s="107" t="s">
        <v>185</v>
      </c>
      <c r="G174" s="108">
        <v>1</v>
      </c>
      <c r="H174" s="107" t="s">
        <v>186</v>
      </c>
      <c r="I174" s="109" t="s">
        <v>187</v>
      </c>
      <c r="J174" s="110">
        <v>46090</v>
      </c>
      <c r="K174" s="111" t="s">
        <v>827</v>
      </c>
      <c r="L174" s="112" t="s">
        <v>194</v>
      </c>
      <c r="M174" s="110" t="s">
        <v>730</v>
      </c>
      <c r="N174" s="113">
        <v>900</v>
      </c>
      <c r="O174" s="113" t="s">
        <v>191</v>
      </c>
      <c r="P174" s="113" t="s">
        <v>192</v>
      </c>
      <c r="Q174" s="114">
        <f t="shared" si="103"/>
        <v>756.30252100840335</v>
      </c>
      <c r="R174" s="115">
        <f t="shared" si="104"/>
        <v>143.69747899159663</v>
      </c>
      <c r="S174" s="115">
        <f t="shared" si="105"/>
        <v>900</v>
      </c>
      <c r="T174" s="115">
        <f t="shared" ref="T174:T184" si="117">IF(B174="","",(N174*G174))</f>
        <v>900</v>
      </c>
      <c r="U174" s="115">
        <f t="shared" si="106"/>
        <v>900</v>
      </c>
      <c r="V174" s="116" t="s">
        <v>187</v>
      </c>
      <c r="W174" s="117">
        <v>46090</v>
      </c>
      <c r="X174" s="118" t="s">
        <v>828</v>
      </c>
      <c r="Y174" s="119" t="s">
        <v>194</v>
      </c>
      <c r="Z174" s="120" t="s">
        <v>792</v>
      </c>
      <c r="AA174" s="121">
        <v>900</v>
      </c>
      <c r="AB174" s="121" t="s">
        <v>191</v>
      </c>
      <c r="AC174" s="121" t="s">
        <v>192</v>
      </c>
      <c r="AD174" s="122">
        <f t="shared" si="107"/>
        <v>756.30252100840335</v>
      </c>
      <c r="AE174" s="123">
        <f t="shared" si="108"/>
        <v>143.69747899159663</v>
      </c>
      <c r="AF174" s="123">
        <f t="shared" si="109"/>
        <v>900</v>
      </c>
      <c r="AG174" s="123">
        <f t="shared" ref="AG174:AG184" si="118">IF(O174="","",(AA174*G174))</f>
        <v>900</v>
      </c>
      <c r="AH174" s="123">
        <f t="shared" si="110"/>
        <v>900</v>
      </c>
      <c r="AI174" s="124" t="s">
        <v>187</v>
      </c>
      <c r="AJ174" s="125">
        <v>46090</v>
      </c>
      <c r="AK174" s="126" t="s">
        <v>266</v>
      </c>
      <c r="AL174" s="127" t="s">
        <v>194</v>
      </c>
      <c r="AM174" s="128" t="s">
        <v>785</v>
      </c>
      <c r="AN174" s="129">
        <v>900</v>
      </c>
      <c r="AO174" s="129" t="s">
        <v>191</v>
      </c>
      <c r="AP174" s="130" t="s">
        <v>192</v>
      </c>
      <c r="AQ174" s="131">
        <f t="shared" si="111"/>
        <v>756.30252100840335</v>
      </c>
      <c r="AR174" s="132">
        <f t="shared" si="112"/>
        <v>143.69747899159663</v>
      </c>
      <c r="AS174" s="132">
        <f t="shared" si="113"/>
        <v>900</v>
      </c>
      <c r="AT174" s="132">
        <f t="shared" ref="AT174:AT184" si="119">IF(AB174="","",(AN174*G174))</f>
        <v>900</v>
      </c>
      <c r="AU174" s="132">
        <f t="shared" si="114"/>
        <v>900</v>
      </c>
      <c r="AV174" s="133">
        <f t="shared" si="83"/>
        <v>900</v>
      </c>
      <c r="AW174" s="133">
        <f t="shared" si="84"/>
        <v>900</v>
      </c>
      <c r="AX174" s="133">
        <f t="shared" si="85"/>
        <v>0</v>
      </c>
      <c r="AY174" s="134">
        <f t="shared" si="115"/>
        <v>0</v>
      </c>
      <c r="AZ174" s="5"/>
      <c r="BA174" s="7">
        <f t="shared" si="116"/>
        <v>3</v>
      </c>
      <c r="BB174" s="7"/>
    </row>
    <row r="175" spans="1:54" ht="67.5">
      <c r="A175" s="105" t="s">
        <v>181</v>
      </c>
      <c r="B175" s="105" t="s">
        <v>259</v>
      </c>
      <c r="C175" s="105">
        <v>60121124</v>
      </c>
      <c r="D175" s="105" t="s">
        <v>829</v>
      </c>
      <c r="E175" s="106" t="s">
        <v>830</v>
      </c>
      <c r="F175" s="107" t="s">
        <v>185</v>
      </c>
      <c r="G175" s="108">
        <v>1</v>
      </c>
      <c r="H175" s="107" t="s">
        <v>186</v>
      </c>
      <c r="I175" s="109" t="s">
        <v>187</v>
      </c>
      <c r="J175" s="110">
        <v>46090</v>
      </c>
      <c r="K175" s="111" t="s">
        <v>266</v>
      </c>
      <c r="L175" s="112" t="s">
        <v>189</v>
      </c>
      <c r="M175" s="110" t="s">
        <v>785</v>
      </c>
      <c r="N175" s="113">
        <v>392</v>
      </c>
      <c r="O175" s="113" t="s">
        <v>191</v>
      </c>
      <c r="P175" s="113" t="s">
        <v>192</v>
      </c>
      <c r="Q175" s="114">
        <f t="shared" si="103"/>
        <v>329.41176470588238</v>
      </c>
      <c r="R175" s="115">
        <f t="shared" si="104"/>
        <v>62.588235294117652</v>
      </c>
      <c r="S175" s="115">
        <f t="shared" si="105"/>
        <v>392</v>
      </c>
      <c r="T175" s="115">
        <f t="shared" si="117"/>
        <v>392</v>
      </c>
      <c r="U175" s="115">
        <f t="shared" si="106"/>
        <v>392</v>
      </c>
      <c r="V175" s="116" t="s">
        <v>187</v>
      </c>
      <c r="W175" s="117">
        <v>46090</v>
      </c>
      <c r="X175" s="118" t="s">
        <v>831</v>
      </c>
      <c r="Y175" s="119" t="s">
        <v>194</v>
      </c>
      <c r="Z175" s="120" t="s">
        <v>832</v>
      </c>
      <c r="AA175" s="121">
        <v>500</v>
      </c>
      <c r="AB175" s="121" t="s">
        <v>191</v>
      </c>
      <c r="AC175" s="121" t="s">
        <v>192</v>
      </c>
      <c r="AD175" s="122">
        <f t="shared" si="107"/>
        <v>420.1680672268908</v>
      </c>
      <c r="AE175" s="123">
        <f t="shared" si="108"/>
        <v>79.831932773109259</v>
      </c>
      <c r="AF175" s="123">
        <f t="shared" si="109"/>
        <v>500.00000000000006</v>
      </c>
      <c r="AG175" s="123">
        <f t="shared" si="118"/>
        <v>500</v>
      </c>
      <c r="AH175" s="123">
        <f t="shared" si="110"/>
        <v>500.00000000000006</v>
      </c>
      <c r="AI175" s="124" t="s">
        <v>187</v>
      </c>
      <c r="AJ175" s="125">
        <v>46090</v>
      </c>
      <c r="AK175" s="126" t="s">
        <v>833</v>
      </c>
      <c r="AL175" s="127" t="s">
        <v>194</v>
      </c>
      <c r="AM175" s="128" t="s">
        <v>834</v>
      </c>
      <c r="AN175" s="129">
        <v>590</v>
      </c>
      <c r="AO175" s="129" t="s">
        <v>191</v>
      </c>
      <c r="AP175" s="130" t="s">
        <v>192</v>
      </c>
      <c r="AQ175" s="131">
        <f t="shared" si="111"/>
        <v>495.79831932773112</v>
      </c>
      <c r="AR175" s="132">
        <f t="shared" si="112"/>
        <v>94.201680672268921</v>
      </c>
      <c r="AS175" s="132">
        <f t="shared" si="113"/>
        <v>590</v>
      </c>
      <c r="AT175" s="132">
        <f t="shared" si="119"/>
        <v>590</v>
      </c>
      <c r="AU175" s="132">
        <f t="shared" si="114"/>
        <v>590</v>
      </c>
      <c r="AV175" s="133">
        <f t="shared" si="83"/>
        <v>494</v>
      </c>
      <c r="AW175" s="133">
        <f t="shared" si="84"/>
        <v>494</v>
      </c>
      <c r="AX175" s="133">
        <f t="shared" si="85"/>
        <v>99</v>
      </c>
      <c r="AY175" s="134">
        <f t="shared" si="115"/>
        <v>0.20040485829959515</v>
      </c>
      <c r="AZ175" s="5"/>
      <c r="BA175" s="7">
        <f t="shared" si="116"/>
        <v>3</v>
      </c>
      <c r="BB175" s="7"/>
    </row>
    <row r="176" spans="1:54" ht="67.5">
      <c r="A176" s="105" t="s">
        <v>181</v>
      </c>
      <c r="B176" s="105" t="s">
        <v>259</v>
      </c>
      <c r="C176" s="105">
        <v>60121124</v>
      </c>
      <c r="D176" s="105" t="s">
        <v>835</v>
      </c>
      <c r="E176" s="106" t="s">
        <v>836</v>
      </c>
      <c r="F176" s="107" t="s">
        <v>185</v>
      </c>
      <c r="G176" s="108">
        <v>1</v>
      </c>
      <c r="H176" s="107" t="s">
        <v>186</v>
      </c>
      <c r="I176" s="109" t="s">
        <v>187</v>
      </c>
      <c r="J176" s="110">
        <v>46090</v>
      </c>
      <c r="K176" s="111" t="s">
        <v>608</v>
      </c>
      <c r="L176" s="112" t="s">
        <v>194</v>
      </c>
      <c r="M176" s="110" t="s">
        <v>609</v>
      </c>
      <c r="N176" s="113">
        <v>6620</v>
      </c>
      <c r="O176" s="113" t="s">
        <v>198</v>
      </c>
      <c r="P176" s="113" t="s">
        <v>192</v>
      </c>
      <c r="Q176" s="114">
        <f t="shared" si="103"/>
        <v>6620</v>
      </c>
      <c r="R176" s="115">
        <f t="shared" si="104"/>
        <v>1257.8</v>
      </c>
      <c r="S176" s="115">
        <f t="shared" si="105"/>
        <v>7877.8</v>
      </c>
      <c r="T176" s="115">
        <f t="shared" si="117"/>
        <v>6620</v>
      </c>
      <c r="U176" s="115">
        <f t="shared" si="106"/>
        <v>7877.8</v>
      </c>
      <c r="V176" s="116" t="s">
        <v>187</v>
      </c>
      <c r="W176" s="117">
        <v>46090</v>
      </c>
      <c r="X176" s="118" t="s">
        <v>747</v>
      </c>
      <c r="Y176" s="119" t="s">
        <v>194</v>
      </c>
      <c r="Z176" s="120" t="s">
        <v>748</v>
      </c>
      <c r="AA176" s="121">
        <v>6500</v>
      </c>
      <c r="AB176" s="121" t="s">
        <v>191</v>
      </c>
      <c r="AC176" s="121" t="s">
        <v>192</v>
      </c>
      <c r="AD176" s="122">
        <f t="shared" si="107"/>
        <v>5462.1848739495799</v>
      </c>
      <c r="AE176" s="123">
        <f t="shared" si="108"/>
        <v>1037.8151260504203</v>
      </c>
      <c r="AF176" s="123">
        <f t="shared" si="109"/>
        <v>6500</v>
      </c>
      <c r="AG176" s="123">
        <f t="shared" si="118"/>
        <v>6500</v>
      </c>
      <c r="AH176" s="123">
        <f t="shared" si="110"/>
        <v>6500</v>
      </c>
      <c r="AI176" s="124" t="s">
        <v>187</v>
      </c>
      <c r="AJ176" s="125">
        <v>46090</v>
      </c>
      <c r="AK176" s="126" t="s">
        <v>837</v>
      </c>
      <c r="AL176" s="127" t="s">
        <v>194</v>
      </c>
      <c r="AM176" s="128" t="s">
        <v>838</v>
      </c>
      <c r="AN176" s="129">
        <v>8385</v>
      </c>
      <c r="AO176" s="129" t="s">
        <v>191</v>
      </c>
      <c r="AP176" s="130" t="s">
        <v>192</v>
      </c>
      <c r="AQ176" s="131">
        <f t="shared" si="111"/>
        <v>7046.2184873949582</v>
      </c>
      <c r="AR176" s="132">
        <f t="shared" si="112"/>
        <v>1338.7815126050421</v>
      </c>
      <c r="AS176" s="132">
        <f t="shared" si="113"/>
        <v>8385</v>
      </c>
      <c r="AT176" s="132">
        <f t="shared" si="119"/>
        <v>8385</v>
      </c>
      <c r="AU176" s="132">
        <f t="shared" si="114"/>
        <v>8385</v>
      </c>
      <c r="AV176" s="133">
        <f t="shared" si="83"/>
        <v>7588</v>
      </c>
      <c r="AW176" s="133">
        <f t="shared" si="84"/>
        <v>7588</v>
      </c>
      <c r="AX176" s="133">
        <f t="shared" si="85"/>
        <v>975</v>
      </c>
      <c r="AY176" s="134">
        <f t="shared" si="115"/>
        <v>0.12849235635213496</v>
      </c>
      <c r="AZ176" s="5"/>
      <c r="BA176" s="7">
        <f t="shared" si="116"/>
        <v>3</v>
      </c>
      <c r="BB176" s="7"/>
    </row>
    <row r="177" spans="1:54" ht="67.5">
      <c r="A177" s="105" t="s">
        <v>181</v>
      </c>
      <c r="B177" s="105" t="s">
        <v>259</v>
      </c>
      <c r="C177" s="105">
        <v>60121124</v>
      </c>
      <c r="D177" s="105" t="s">
        <v>839</v>
      </c>
      <c r="E177" s="106" t="s">
        <v>840</v>
      </c>
      <c r="F177" s="107" t="s">
        <v>185</v>
      </c>
      <c r="G177" s="108">
        <v>1</v>
      </c>
      <c r="H177" s="107" t="s">
        <v>186</v>
      </c>
      <c r="I177" s="109" t="s">
        <v>187</v>
      </c>
      <c r="J177" s="110">
        <v>46090</v>
      </c>
      <c r="K177" s="111" t="s">
        <v>266</v>
      </c>
      <c r="L177" s="112" t="s">
        <v>194</v>
      </c>
      <c r="M177" s="110" t="s">
        <v>785</v>
      </c>
      <c r="N177" s="113">
        <v>600</v>
      </c>
      <c r="O177" s="113" t="s">
        <v>191</v>
      </c>
      <c r="P177" s="113" t="s">
        <v>192</v>
      </c>
      <c r="Q177" s="114">
        <f t="shared" si="103"/>
        <v>504.20168067226894</v>
      </c>
      <c r="R177" s="115">
        <f t="shared" si="104"/>
        <v>95.798319327731093</v>
      </c>
      <c r="S177" s="115">
        <f t="shared" si="105"/>
        <v>600</v>
      </c>
      <c r="T177" s="115">
        <f t="shared" si="117"/>
        <v>600</v>
      </c>
      <c r="U177" s="115">
        <f t="shared" si="106"/>
        <v>600</v>
      </c>
      <c r="V177" s="116" t="s">
        <v>187</v>
      </c>
      <c r="W177" s="117">
        <v>46090</v>
      </c>
      <c r="X177" s="118" t="s">
        <v>831</v>
      </c>
      <c r="Y177" s="119" t="s">
        <v>194</v>
      </c>
      <c r="Z177" s="120" t="s">
        <v>832</v>
      </c>
      <c r="AA177" s="121">
        <v>500</v>
      </c>
      <c r="AB177" s="121" t="s">
        <v>191</v>
      </c>
      <c r="AC177" s="121" t="s">
        <v>192</v>
      </c>
      <c r="AD177" s="122">
        <f t="shared" si="107"/>
        <v>420.1680672268908</v>
      </c>
      <c r="AE177" s="123">
        <f t="shared" si="108"/>
        <v>79.831932773109259</v>
      </c>
      <c r="AF177" s="123">
        <f t="shared" si="109"/>
        <v>500.00000000000006</v>
      </c>
      <c r="AG177" s="123">
        <f t="shared" si="118"/>
        <v>500</v>
      </c>
      <c r="AH177" s="123">
        <f t="shared" si="110"/>
        <v>500.00000000000006</v>
      </c>
      <c r="AI177" s="124" t="s">
        <v>187</v>
      </c>
      <c r="AJ177" s="125">
        <v>46090</v>
      </c>
      <c r="AK177" s="126" t="s">
        <v>833</v>
      </c>
      <c r="AL177" s="127" t="s">
        <v>194</v>
      </c>
      <c r="AM177" s="128" t="s">
        <v>834</v>
      </c>
      <c r="AN177" s="129">
        <v>590</v>
      </c>
      <c r="AO177" s="129" t="s">
        <v>191</v>
      </c>
      <c r="AP177" s="130" t="s">
        <v>192</v>
      </c>
      <c r="AQ177" s="131">
        <f t="shared" si="111"/>
        <v>495.79831932773112</v>
      </c>
      <c r="AR177" s="132">
        <f t="shared" si="112"/>
        <v>94.201680672268921</v>
      </c>
      <c r="AS177" s="132">
        <f t="shared" si="113"/>
        <v>590</v>
      </c>
      <c r="AT177" s="132">
        <f t="shared" si="119"/>
        <v>590</v>
      </c>
      <c r="AU177" s="132">
        <f t="shared" si="114"/>
        <v>590</v>
      </c>
      <c r="AV177" s="133">
        <f t="shared" si="83"/>
        <v>563</v>
      </c>
      <c r="AW177" s="133">
        <f t="shared" si="84"/>
        <v>563</v>
      </c>
      <c r="AX177" s="133">
        <f t="shared" si="85"/>
        <v>55</v>
      </c>
      <c r="AY177" s="134">
        <f t="shared" si="115"/>
        <v>9.7690941385435173E-2</v>
      </c>
      <c r="AZ177" s="5"/>
      <c r="BA177" s="7">
        <f t="shared" si="116"/>
        <v>3</v>
      </c>
      <c r="BB177" s="7"/>
    </row>
    <row r="178" spans="1:54" ht="67.5">
      <c r="A178" s="105" t="s">
        <v>181</v>
      </c>
      <c r="B178" s="105" t="s">
        <v>259</v>
      </c>
      <c r="C178" s="105">
        <v>14121901</v>
      </c>
      <c r="D178" s="105" t="s">
        <v>841</v>
      </c>
      <c r="E178" s="106" t="s">
        <v>842</v>
      </c>
      <c r="F178" s="107" t="s">
        <v>185</v>
      </c>
      <c r="G178" s="108">
        <v>1</v>
      </c>
      <c r="H178" s="107" t="s">
        <v>186</v>
      </c>
      <c r="I178" s="109" t="s">
        <v>187</v>
      </c>
      <c r="J178" s="110">
        <v>46090</v>
      </c>
      <c r="K178" s="111" t="s">
        <v>843</v>
      </c>
      <c r="L178" s="112" t="s">
        <v>194</v>
      </c>
      <c r="M178" s="110" t="s">
        <v>844</v>
      </c>
      <c r="N178" s="113">
        <v>500</v>
      </c>
      <c r="O178" s="113" t="s">
        <v>191</v>
      </c>
      <c r="P178" s="113" t="s">
        <v>192</v>
      </c>
      <c r="Q178" s="114">
        <f t="shared" si="103"/>
        <v>420.1680672268908</v>
      </c>
      <c r="R178" s="115">
        <f t="shared" si="104"/>
        <v>79.831932773109259</v>
      </c>
      <c r="S178" s="115">
        <f t="shared" si="105"/>
        <v>500.00000000000006</v>
      </c>
      <c r="T178" s="115">
        <f t="shared" si="117"/>
        <v>500</v>
      </c>
      <c r="U178" s="115">
        <f t="shared" si="106"/>
        <v>500.00000000000006</v>
      </c>
      <c r="V178" s="116" t="s">
        <v>187</v>
      </c>
      <c r="W178" s="117">
        <v>46090</v>
      </c>
      <c r="X178" s="118" t="s">
        <v>845</v>
      </c>
      <c r="Y178" s="119" t="s">
        <v>194</v>
      </c>
      <c r="Z178" s="120" t="s">
        <v>846</v>
      </c>
      <c r="AA178" s="121">
        <v>410</v>
      </c>
      <c r="AB178" s="121" t="s">
        <v>191</v>
      </c>
      <c r="AC178" s="121" t="s">
        <v>192</v>
      </c>
      <c r="AD178" s="122">
        <f t="shared" si="107"/>
        <v>344.53781512605042</v>
      </c>
      <c r="AE178" s="123">
        <f t="shared" si="108"/>
        <v>65.462184873949582</v>
      </c>
      <c r="AF178" s="123">
        <f t="shared" si="109"/>
        <v>410</v>
      </c>
      <c r="AG178" s="123">
        <f t="shared" si="118"/>
        <v>410</v>
      </c>
      <c r="AH178" s="123">
        <f t="shared" si="110"/>
        <v>410</v>
      </c>
      <c r="AI178" s="124" t="s">
        <v>187</v>
      </c>
      <c r="AJ178" s="125">
        <v>46090</v>
      </c>
      <c r="AK178" s="126" t="s">
        <v>266</v>
      </c>
      <c r="AL178" s="127" t="s">
        <v>194</v>
      </c>
      <c r="AM178" s="128" t="s">
        <v>785</v>
      </c>
      <c r="AN178" s="129">
        <v>500</v>
      </c>
      <c r="AO178" s="129" t="s">
        <v>191</v>
      </c>
      <c r="AP178" s="130" t="s">
        <v>192</v>
      </c>
      <c r="AQ178" s="131">
        <f t="shared" si="111"/>
        <v>420.1680672268908</v>
      </c>
      <c r="AR178" s="132">
        <f t="shared" si="112"/>
        <v>79.831932773109259</v>
      </c>
      <c r="AS178" s="132">
        <f t="shared" si="113"/>
        <v>500.00000000000006</v>
      </c>
      <c r="AT178" s="132">
        <f t="shared" si="119"/>
        <v>500</v>
      </c>
      <c r="AU178" s="132">
        <f t="shared" si="114"/>
        <v>500.00000000000006</v>
      </c>
      <c r="AV178" s="133">
        <f t="shared" si="83"/>
        <v>470</v>
      </c>
      <c r="AW178" s="133">
        <f t="shared" si="84"/>
        <v>470</v>
      </c>
      <c r="AX178" s="133">
        <f t="shared" si="85"/>
        <v>52</v>
      </c>
      <c r="AY178" s="134">
        <f t="shared" si="115"/>
        <v>0.11063829787234042</v>
      </c>
      <c r="AZ178" s="5"/>
      <c r="BA178" s="7">
        <f t="shared" si="116"/>
        <v>3</v>
      </c>
      <c r="BB178" s="7"/>
    </row>
    <row r="179" spans="1:54" ht="67.5">
      <c r="A179" s="105" t="s">
        <v>181</v>
      </c>
      <c r="B179" s="105" t="s">
        <v>259</v>
      </c>
      <c r="C179" s="105">
        <v>31201610</v>
      </c>
      <c r="D179" s="105" t="s">
        <v>847</v>
      </c>
      <c r="E179" s="106" t="s">
        <v>848</v>
      </c>
      <c r="F179" s="107" t="s">
        <v>185</v>
      </c>
      <c r="G179" s="108">
        <v>1</v>
      </c>
      <c r="H179" s="107" t="s">
        <v>186</v>
      </c>
      <c r="I179" s="109" t="s">
        <v>187</v>
      </c>
      <c r="J179" s="110">
        <v>46090</v>
      </c>
      <c r="K179" s="111" t="s">
        <v>608</v>
      </c>
      <c r="L179" s="112" t="s">
        <v>194</v>
      </c>
      <c r="M179" s="110" t="s">
        <v>609</v>
      </c>
      <c r="N179" s="113">
        <v>2700</v>
      </c>
      <c r="O179" s="113" t="s">
        <v>198</v>
      </c>
      <c r="P179" s="113" t="s">
        <v>192</v>
      </c>
      <c r="Q179" s="114">
        <f t="shared" si="103"/>
        <v>2700</v>
      </c>
      <c r="R179" s="115">
        <f t="shared" si="104"/>
        <v>513</v>
      </c>
      <c r="S179" s="115">
        <f t="shared" si="105"/>
        <v>3213</v>
      </c>
      <c r="T179" s="115">
        <f t="shared" si="117"/>
        <v>2700</v>
      </c>
      <c r="U179" s="115">
        <f t="shared" si="106"/>
        <v>3213</v>
      </c>
      <c r="V179" s="116" t="s">
        <v>187</v>
      </c>
      <c r="W179" s="117">
        <v>46090</v>
      </c>
      <c r="X179" s="118" t="s">
        <v>849</v>
      </c>
      <c r="Y179" s="119" t="s">
        <v>194</v>
      </c>
      <c r="Z179" s="120" t="s">
        <v>846</v>
      </c>
      <c r="AA179" s="121">
        <v>3500</v>
      </c>
      <c r="AB179" s="121" t="s">
        <v>191</v>
      </c>
      <c r="AC179" s="121" t="s">
        <v>192</v>
      </c>
      <c r="AD179" s="122">
        <f t="shared" si="107"/>
        <v>2941.1764705882356</v>
      </c>
      <c r="AE179" s="123">
        <f t="shared" si="108"/>
        <v>558.82352941176475</v>
      </c>
      <c r="AF179" s="123">
        <f t="shared" si="109"/>
        <v>3500.0000000000005</v>
      </c>
      <c r="AG179" s="123">
        <f t="shared" si="118"/>
        <v>3500</v>
      </c>
      <c r="AH179" s="123">
        <f t="shared" si="110"/>
        <v>3500.0000000000005</v>
      </c>
      <c r="AI179" s="124" t="s">
        <v>187</v>
      </c>
      <c r="AJ179" s="125">
        <v>46090</v>
      </c>
      <c r="AK179" s="126" t="s">
        <v>850</v>
      </c>
      <c r="AL179" s="127" t="s">
        <v>194</v>
      </c>
      <c r="AM179" s="128" t="s">
        <v>851</v>
      </c>
      <c r="AN179" s="129">
        <v>2618</v>
      </c>
      <c r="AO179" s="129" t="s">
        <v>191</v>
      </c>
      <c r="AP179" s="130" t="s">
        <v>192</v>
      </c>
      <c r="AQ179" s="131">
        <f t="shared" si="111"/>
        <v>2200</v>
      </c>
      <c r="AR179" s="132">
        <f t="shared" si="112"/>
        <v>418</v>
      </c>
      <c r="AS179" s="132">
        <f t="shared" si="113"/>
        <v>2618</v>
      </c>
      <c r="AT179" s="132">
        <f t="shared" si="119"/>
        <v>2618</v>
      </c>
      <c r="AU179" s="132">
        <f t="shared" si="114"/>
        <v>2618</v>
      </c>
      <c r="AV179" s="133">
        <f t="shared" si="83"/>
        <v>3110</v>
      </c>
      <c r="AW179" s="133">
        <f t="shared" si="84"/>
        <v>3110</v>
      </c>
      <c r="AX179" s="133">
        <f t="shared" si="85"/>
        <v>450</v>
      </c>
      <c r="AY179" s="134">
        <f t="shared" si="115"/>
        <v>0.14469453376205788</v>
      </c>
      <c r="AZ179" s="5"/>
      <c r="BA179" s="7">
        <f t="shared" si="116"/>
        <v>3</v>
      </c>
      <c r="BB179" s="7"/>
    </row>
    <row r="180" spans="1:54" ht="81">
      <c r="A180" s="105" t="s">
        <v>181</v>
      </c>
      <c r="B180" s="105" t="s">
        <v>259</v>
      </c>
      <c r="C180" s="105">
        <v>31201610</v>
      </c>
      <c r="D180" s="105" t="s">
        <v>852</v>
      </c>
      <c r="E180" s="106" t="s">
        <v>853</v>
      </c>
      <c r="F180" s="107" t="s">
        <v>185</v>
      </c>
      <c r="G180" s="108">
        <v>1</v>
      </c>
      <c r="H180" s="107" t="s">
        <v>186</v>
      </c>
      <c r="I180" s="109" t="s">
        <v>187</v>
      </c>
      <c r="J180" s="110">
        <v>46090</v>
      </c>
      <c r="K180" s="111" t="s">
        <v>608</v>
      </c>
      <c r="L180" s="112" t="s">
        <v>194</v>
      </c>
      <c r="M180" s="110" t="s">
        <v>609</v>
      </c>
      <c r="N180" s="113">
        <v>13000</v>
      </c>
      <c r="O180" s="113" t="s">
        <v>198</v>
      </c>
      <c r="P180" s="113" t="s">
        <v>192</v>
      </c>
      <c r="Q180" s="114">
        <f t="shared" si="103"/>
        <v>13000</v>
      </c>
      <c r="R180" s="115">
        <f t="shared" si="104"/>
        <v>2470</v>
      </c>
      <c r="S180" s="115">
        <f t="shared" si="105"/>
        <v>15470</v>
      </c>
      <c r="T180" s="115">
        <f t="shared" si="117"/>
        <v>13000</v>
      </c>
      <c r="U180" s="115">
        <f t="shared" si="106"/>
        <v>15470</v>
      </c>
      <c r="V180" s="116" t="s">
        <v>187</v>
      </c>
      <c r="W180" s="117">
        <v>46090</v>
      </c>
      <c r="X180" s="118" t="s">
        <v>266</v>
      </c>
      <c r="Y180" s="119" t="s">
        <v>194</v>
      </c>
      <c r="Z180" s="120" t="s">
        <v>785</v>
      </c>
      <c r="AA180" s="121">
        <v>16200</v>
      </c>
      <c r="AB180" s="121" t="s">
        <v>191</v>
      </c>
      <c r="AC180" s="121" t="s">
        <v>192</v>
      </c>
      <c r="AD180" s="122">
        <f t="shared" si="107"/>
        <v>13613.44537815126</v>
      </c>
      <c r="AE180" s="123">
        <f t="shared" si="108"/>
        <v>2586.5546218487393</v>
      </c>
      <c r="AF180" s="123">
        <f t="shared" si="109"/>
        <v>16200</v>
      </c>
      <c r="AG180" s="123">
        <f t="shared" si="118"/>
        <v>16200</v>
      </c>
      <c r="AH180" s="123">
        <f t="shared" si="110"/>
        <v>16200</v>
      </c>
      <c r="AI180" s="124" t="s">
        <v>187</v>
      </c>
      <c r="AJ180" s="125">
        <v>46090</v>
      </c>
      <c r="AK180" s="126" t="s">
        <v>854</v>
      </c>
      <c r="AL180" s="127" t="s">
        <v>194</v>
      </c>
      <c r="AM180" s="128" t="s">
        <v>855</v>
      </c>
      <c r="AN180" s="129">
        <v>16800</v>
      </c>
      <c r="AO180" s="129" t="s">
        <v>191</v>
      </c>
      <c r="AP180" s="130" t="s">
        <v>192</v>
      </c>
      <c r="AQ180" s="131">
        <f t="shared" si="111"/>
        <v>14117.64705882353</v>
      </c>
      <c r="AR180" s="132">
        <f t="shared" si="112"/>
        <v>2682.3529411764707</v>
      </c>
      <c r="AS180" s="132">
        <f t="shared" si="113"/>
        <v>16800</v>
      </c>
      <c r="AT180" s="132">
        <f t="shared" si="119"/>
        <v>16800</v>
      </c>
      <c r="AU180" s="132">
        <f t="shared" si="114"/>
        <v>16800</v>
      </c>
      <c r="AV180" s="133">
        <f t="shared" si="83"/>
        <v>16157</v>
      </c>
      <c r="AW180" s="133">
        <f t="shared" si="84"/>
        <v>16157</v>
      </c>
      <c r="AX180" s="133">
        <f t="shared" si="85"/>
        <v>666</v>
      </c>
      <c r="AY180" s="134">
        <f t="shared" si="115"/>
        <v>4.1220523612056692E-2</v>
      </c>
      <c r="AZ180" s="5"/>
      <c r="BA180" s="7">
        <f t="shared" si="116"/>
        <v>3</v>
      </c>
      <c r="BB180" s="7"/>
    </row>
    <row r="181" spans="1:54" ht="67.5">
      <c r="A181" s="105" t="s">
        <v>181</v>
      </c>
      <c r="B181" s="105" t="s">
        <v>259</v>
      </c>
      <c r="C181" s="105">
        <v>31201610</v>
      </c>
      <c r="D181" s="105" t="s">
        <v>856</v>
      </c>
      <c r="E181" s="106" t="s">
        <v>857</v>
      </c>
      <c r="F181" s="107" t="s">
        <v>185</v>
      </c>
      <c r="G181" s="108">
        <v>1</v>
      </c>
      <c r="H181" s="107" t="s">
        <v>186</v>
      </c>
      <c r="I181" s="109" t="s">
        <v>187</v>
      </c>
      <c r="J181" s="110">
        <v>46090</v>
      </c>
      <c r="K181" s="111" t="s">
        <v>858</v>
      </c>
      <c r="L181" s="112" t="s">
        <v>194</v>
      </c>
      <c r="M181" s="110" t="s">
        <v>859</v>
      </c>
      <c r="N181" s="113">
        <v>6600</v>
      </c>
      <c r="O181" s="113" t="s">
        <v>198</v>
      </c>
      <c r="P181" s="113" t="s">
        <v>192</v>
      </c>
      <c r="Q181" s="114">
        <f t="shared" si="103"/>
        <v>6600</v>
      </c>
      <c r="R181" s="115">
        <f t="shared" si="104"/>
        <v>1254</v>
      </c>
      <c r="S181" s="115">
        <f t="shared" si="105"/>
        <v>7854</v>
      </c>
      <c r="T181" s="115">
        <f t="shared" si="117"/>
        <v>6600</v>
      </c>
      <c r="U181" s="115">
        <f t="shared" si="106"/>
        <v>7854</v>
      </c>
      <c r="V181" s="116" t="s">
        <v>187</v>
      </c>
      <c r="W181" s="117">
        <v>46090</v>
      </c>
      <c r="X181" s="118" t="s">
        <v>747</v>
      </c>
      <c r="Y181" s="119" t="s">
        <v>194</v>
      </c>
      <c r="Z181" s="120" t="s">
        <v>748</v>
      </c>
      <c r="AA181" s="121">
        <v>7900</v>
      </c>
      <c r="AB181" s="121" t="s">
        <v>191</v>
      </c>
      <c r="AC181" s="121" t="s">
        <v>192</v>
      </c>
      <c r="AD181" s="122">
        <f t="shared" si="107"/>
        <v>6638.6554621848745</v>
      </c>
      <c r="AE181" s="123">
        <f t="shared" si="108"/>
        <v>1261.3445378151262</v>
      </c>
      <c r="AF181" s="123">
        <f t="shared" si="109"/>
        <v>7900.0000000000009</v>
      </c>
      <c r="AG181" s="123">
        <f t="shared" si="118"/>
        <v>7900</v>
      </c>
      <c r="AH181" s="123">
        <f t="shared" si="110"/>
        <v>7900.0000000000009</v>
      </c>
      <c r="AI181" s="124" t="s">
        <v>187</v>
      </c>
      <c r="AJ181" s="125">
        <v>46090</v>
      </c>
      <c r="AK181" s="126" t="s">
        <v>860</v>
      </c>
      <c r="AL181" s="127" t="s">
        <v>194</v>
      </c>
      <c r="AM181" s="128" t="s">
        <v>861</v>
      </c>
      <c r="AN181" s="129">
        <v>6500</v>
      </c>
      <c r="AO181" s="129" t="s">
        <v>191</v>
      </c>
      <c r="AP181" s="130" t="s">
        <v>192</v>
      </c>
      <c r="AQ181" s="131">
        <f t="shared" si="111"/>
        <v>5462.1848739495799</v>
      </c>
      <c r="AR181" s="132">
        <f t="shared" si="112"/>
        <v>1037.8151260504203</v>
      </c>
      <c r="AS181" s="132">
        <f t="shared" si="113"/>
        <v>6500</v>
      </c>
      <c r="AT181" s="132">
        <f t="shared" si="119"/>
        <v>6500</v>
      </c>
      <c r="AU181" s="132">
        <f t="shared" si="114"/>
        <v>6500</v>
      </c>
      <c r="AV181" s="133">
        <f t="shared" si="83"/>
        <v>7418</v>
      </c>
      <c r="AW181" s="133">
        <f t="shared" si="84"/>
        <v>7418</v>
      </c>
      <c r="AX181" s="133">
        <f t="shared" si="85"/>
        <v>795</v>
      </c>
      <c r="AY181" s="134">
        <f t="shared" si="115"/>
        <v>0.10717174440550013</v>
      </c>
      <c r="AZ181" s="5"/>
      <c r="BA181" s="7">
        <f t="shared" si="116"/>
        <v>3</v>
      </c>
      <c r="BB181" s="7"/>
    </row>
    <row r="182" spans="1:54" ht="75">
      <c r="A182" s="105" t="s">
        <v>181</v>
      </c>
      <c r="B182" s="105" t="s">
        <v>182</v>
      </c>
      <c r="C182" s="105">
        <v>55121714</v>
      </c>
      <c r="D182" s="105" t="s">
        <v>862</v>
      </c>
      <c r="E182" s="106" t="s">
        <v>863</v>
      </c>
      <c r="F182" s="107" t="s">
        <v>185</v>
      </c>
      <c r="G182" s="108">
        <v>1</v>
      </c>
      <c r="H182" s="107" t="s">
        <v>186</v>
      </c>
      <c r="I182" s="109" t="s">
        <v>234</v>
      </c>
      <c r="J182" s="110">
        <v>46070</v>
      </c>
      <c r="K182" s="111" t="s">
        <v>201</v>
      </c>
      <c r="L182" s="112" t="s">
        <v>194</v>
      </c>
      <c r="M182" s="110" t="s">
        <v>197</v>
      </c>
      <c r="N182" s="113">
        <v>240000</v>
      </c>
      <c r="O182" s="113" t="s">
        <v>198</v>
      </c>
      <c r="P182" s="113" t="s">
        <v>192</v>
      </c>
      <c r="Q182" s="114">
        <f t="shared" si="103"/>
        <v>240000</v>
      </c>
      <c r="R182" s="115">
        <f t="shared" si="104"/>
        <v>45600</v>
      </c>
      <c r="S182" s="115">
        <f t="shared" si="105"/>
        <v>285600</v>
      </c>
      <c r="T182" s="115">
        <f t="shared" si="117"/>
        <v>240000</v>
      </c>
      <c r="U182" s="115">
        <f t="shared" si="106"/>
        <v>285600</v>
      </c>
      <c r="V182" s="116" t="s">
        <v>234</v>
      </c>
      <c r="W182" s="117">
        <v>46070</v>
      </c>
      <c r="X182" s="118" t="s">
        <v>235</v>
      </c>
      <c r="Y182" s="119" t="s">
        <v>194</v>
      </c>
      <c r="Z182" s="120" t="s">
        <v>212</v>
      </c>
      <c r="AA182" s="121">
        <v>220000</v>
      </c>
      <c r="AB182" s="121" t="s">
        <v>198</v>
      </c>
      <c r="AC182" s="121" t="s">
        <v>192</v>
      </c>
      <c r="AD182" s="122">
        <f t="shared" si="107"/>
        <v>220000</v>
      </c>
      <c r="AE182" s="123">
        <f t="shared" si="108"/>
        <v>41800</v>
      </c>
      <c r="AF182" s="123">
        <f t="shared" si="109"/>
        <v>261800</v>
      </c>
      <c r="AG182" s="123">
        <f t="shared" si="118"/>
        <v>220000</v>
      </c>
      <c r="AH182" s="123">
        <f t="shared" si="110"/>
        <v>261800</v>
      </c>
      <c r="AI182" s="124" t="s">
        <v>234</v>
      </c>
      <c r="AJ182" s="125">
        <v>46071</v>
      </c>
      <c r="AK182" s="126" t="s">
        <v>193</v>
      </c>
      <c r="AL182" s="127" t="s">
        <v>189</v>
      </c>
      <c r="AM182" s="128" t="s">
        <v>205</v>
      </c>
      <c r="AN182" s="129">
        <v>290000</v>
      </c>
      <c r="AO182" s="129" t="s">
        <v>191</v>
      </c>
      <c r="AP182" s="130" t="s">
        <v>192</v>
      </c>
      <c r="AQ182" s="131">
        <f t="shared" si="111"/>
        <v>243697.47899159664</v>
      </c>
      <c r="AR182" s="132">
        <f t="shared" si="112"/>
        <v>46302.521008403361</v>
      </c>
      <c r="AS182" s="132">
        <f t="shared" si="113"/>
        <v>290000</v>
      </c>
      <c r="AT182" s="132">
        <f t="shared" si="119"/>
        <v>290000</v>
      </c>
      <c r="AU182" s="132">
        <f t="shared" si="114"/>
        <v>290000</v>
      </c>
      <c r="AV182" s="133">
        <f t="shared" si="83"/>
        <v>279133</v>
      </c>
      <c r="AW182" s="133">
        <f t="shared" si="84"/>
        <v>279133</v>
      </c>
      <c r="AX182" s="133">
        <f t="shared" si="85"/>
        <v>15171</v>
      </c>
      <c r="AY182" s="134">
        <f t="shared" si="115"/>
        <v>5.4350435097247546E-2</v>
      </c>
      <c r="AZ182" s="5" t="s">
        <v>864</v>
      </c>
      <c r="BA182" s="7">
        <f t="shared" si="116"/>
        <v>3</v>
      </c>
      <c r="BB182" s="7"/>
    </row>
    <row r="183" spans="1:54" ht="54">
      <c r="A183" s="105" t="s">
        <v>181</v>
      </c>
      <c r="B183" s="105" t="s">
        <v>182</v>
      </c>
      <c r="C183" s="105">
        <v>55121714</v>
      </c>
      <c r="D183" s="105" t="s">
        <v>865</v>
      </c>
      <c r="E183" s="106" t="s">
        <v>866</v>
      </c>
      <c r="F183" s="107" t="s">
        <v>185</v>
      </c>
      <c r="G183" s="108">
        <v>1</v>
      </c>
      <c r="H183" s="107" t="s">
        <v>186</v>
      </c>
      <c r="I183" s="109" t="s">
        <v>234</v>
      </c>
      <c r="J183" s="110">
        <v>46070</v>
      </c>
      <c r="K183" s="111" t="s">
        <v>201</v>
      </c>
      <c r="L183" s="112" t="s">
        <v>194</v>
      </c>
      <c r="M183" s="110" t="s">
        <v>197</v>
      </c>
      <c r="N183" s="113">
        <v>80000</v>
      </c>
      <c r="O183" s="113" t="s">
        <v>198</v>
      </c>
      <c r="P183" s="113" t="s">
        <v>192</v>
      </c>
      <c r="Q183" s="114">
        <f t="shared" si="103"/>
        <v>80000</v>
      </c>
      <c r="R183" s="115">
        <f t="shared" si="104"/>
        <v>15200</v>
      </c>
      <c r="S183" s="115">
        <f t="shared" si="105"/>
        <v>95200</v>
      </c>
      <c r="T183" s="115">
        <f t="shared" si="117"/>
        <v>80000</v>
      </c>
      <c r="U183" s="115">
        <f t="shared" si="106"/>
        <v>95200</v>
      </c>
      <c r="V183" s="116" t="s">
        <v>234</v>
      </c>
      <c r="W183" s="117">
        <v>46070</v>
      </c>
      <c r="X183" s="118" t="s">
        <v>223</v>
      </c>
      <c r="Y183" s="119" t="s">
        <v>194</v>
      </c>
      <c r="Z183" s="120" t="s">
        <v>548</v>
      </c>
      <c r="AA183" s="121">
        <v>75000</v>
      </c>
      <c r="AB183" s="121" t="s">
        <v>198</v>
      </c>
      <c r="AC183" s="121" t="s">
        <v>192</v>
      </c>
      <c r="AD183" s="122">
        <f t="shared" si="107"/>
        <v>75000</v>
      </c>
      <c r="AE183" s="123">
        <f t="shared" si="108"/>
        <v>14250</v>
      </c>
      <c r="AF183" s="123">
        <f t="shared" si="109"/>
        <v>89250</v>
      </c>
      <c r="AG183" s="123">
        <f t="shared" si="118"/>
        <v>75000</v>
      </c>
      <c r="AH183" s="123">
        <f t="shared" si="110"/>
        <v>89250</v>
      </c>
      <c r="AI183" s="124" t="s">
        <v>234</v>
      </c>
      <c r="AJ183" s="125">
        <v>46070</v>
      </c>
      <c r="AK183" s="126" t="s">
        <v>235</v>
      </c>
      <c r="AL183" s="127" t="s">
        <v>194</v>
      </c>
      <c r="AM183" s="128" t="s">
        <v>212</v>
      </c>
      <c r="AN183" s="129">
        <v>90000</v>
      </c>
      <c r="AO183" s="129" t="s">
        <v>198</v>
      </c>
      <c r="AP183" s="130" t="s">
        <v>192</v>
      </c>
      <c r="AQ183" s="131">
        <f t="shared" si="111"/>
        <v>90000</v>
      </c>
      <c r="AR183" s="132">
        <f t="shared" si="112"/>
        <v>17100</v>
      </c>
      <c r="AS183" s="132">
        <f t="shared" si="113"/>
        <v>107100</v>
      </c>
      <c r="AT183" s="132">
        <f t="shared" si="119"/>
        <v>90000</v>
      </c>
      <c r="AU183" s="132">
        <f t="shared" si="114"/>
        <v>107100</v>
      </c>
      <c r="AV183" s="133">
        <f t="shared" si="83"/>
        <v>97183</v>
      </c>
      <c r="AW183" s="133">
        <f t="shared" si="84"/>
        <v>97183</v>
      </c>
      <c r="AX183" s="133">
        <f t="shared" si="85"/>
        <v>9089</v>
      </c>
      <c r="AY183" s="134">
        <f t="shared" si="115"/>
        <v>9.3524587633639633E-2</v>
      </c>
      <c r="AZ183" s="5"/>
      <c r="BA183" s="7">
        <f t="shared" si="116"/>
        <v>3</v>
      </c>
      <c r="BB183" s="7"/>
    </row>
    <row r="184" spans="1:54" ht="54">
      <c r="A184" s="105" t="s">
        <v>181</v>
      </c>
      <c r="B184" s="105" t="s">
        <v>182</v>
      </c>
      <c r="C184" s="105">
        <v>55121714</v>
      </c>
      <c r="D184" s="105" t="s">
        <v>867</v>
      </c>
      <c r="E184" s="106" t="s">
        <v>868</v>
      </c>
      <c r="F184" s="107" t="s">
        <v>185</v>
      </c>
      <c r="G184" s="108">
        <v>1</v>
      </c>
      <c r="H184" s="107" t="s">
        <v>186</v>
      </c>
      <c r="I184" s="109" t="s">
        <v>234</v>
      </c>
      <c r="J184" s="110">
        <v>46070</v>
      </c>
      <c r="K184" s="111" t="s">
        <v>201</v>
      </c>
      <c r="L184" s="112" t="s">
        <v>194</v>
      </c>
      <c r="M184" s="110" t="s">
        <v>197</v>
      </c>
      <c r="N184" s="113">
        <v>240000</v>
      </c>
      <c r="O184" s="113" t="s">
        <v>198</v>
      </c>
      <c r="P184" s="113" t="s">
        <v>192</v>
      </c>
      <c r="Q184" s="114">
        <f t="shared" si="103"/>
        <v>240000</v>
      </c>
      <c r="R184" s="115">
        <f t="shared" si="104"/>
        <v>45600</v>
      </c>
      <c r="S184" s="115">
        <f t="shared" si="105"/>
        <v>285600</v>
      </c>
      <c r="T184" s="115">
        <f t="shared" si="117"/>
        <v>240000</v>
      </c>
      <c r="U184" s="115">
        <f t="shared" si="106"/>
        <v>285600</v>
      </c>
      <c r="V184" s="116" t="s">
        <v>234</v>
      </c>
      <c r="W184" s="117">
        <v>46070</v>
      </c>
      <c r="X184" s="118" t="s">
        <v>223</v>
      </c>
      <c r="Y184" s="119" t="s">
        <v>194</v>
      </c>
      <c r="Z184" s="120" t="s">
        <v>548</v>
      </c>
      <c r="AA184" s="121">
        <v>200000</v>
      </c>
      <c r="AB184" s="121" t="s">
        <v>198</v>
      </c>
      <c r="AC184" s="121" t="s">
        <v>192</v>
      </c>
      <c r="AD184" s="122">
        <f t="shared" si="107"/>
        <v>200000</v>
      </c>
      <c r="AE184" s="123">
        <f t="shared" si="108"/>
        <v>38000</v>
      </c>
      <c r="AF184" s="123">
        <f t="shared" si="109"/>
        <v>238000</v>
      </c>
      <c r="AG184" s="123">
        <f t="shared" si="118"/>
        <v>200000</v>
      </c>
      <c r="AH184" s="123">
        <f t="shared" si="110"/>
        <v>238000</v>
      </c>
      <c r="AI184" s="124" t="s">
        <v>234</v>
      </c>
      <c r="AJ184" s="125">
        <v>46071</v>
      </c>
      <c r="AK184" s="126" t="s">
        <v>216</v>
      </c>
      <c r="AL184" s="127" t="s">
        <v>194</v>
      </c>
      <c r="AM184" s="128" t="s">
        <v>217</v>
      </c>
      <c r="AN184" s="129">
        <v>245000</v>
      </c>
      <c r="AO184" s="129" t="s">
        <v>198</v>
      </c>
      <c r="AP184" s="130" t="s">
        <v>218</v>
      </c>
      <c r="AQ184" s="131">
        <f t="shared" si="111"/>
        <v>245000</v>
      </c>
      <c r="AR184" s="132">
        <f t="shared" si="112"/>
        <v>0</v>
      </c>
      <c r="AS184" s="132">
        <f t="shared" si="113"/>
        <v>245000</v>
      </c>
      <c r="AT184" s="132">
        <f t="shared" si="119"/>
        <v>245000</v>
      </c>
      <c r="AU184" s="132">
        <f t="shared" si="114"/>
        <v>245000</v>
      </c>
      <c r="AV184" s="133">
        <f t="shared" si="83"/>
        <v>256200</v>
      </c>
      <c r="AW184" s="133">
        <f t="shared" si="84"/>
        <v>256200</v>
      </c>
      <c r="AX184" s="133">
        <f t="shared" si="85"/>
        <v>25701</v>
      </c>
      <c r="AY184" s="134">
        <f t="shared" si="115"/>
        <v>0.10031615925058548</v>
      </c>
      <c r="AZ184" s="5"/>
      <c r="BA184" s="7">
        <f t="shared" si="116"/>
        <v>3</v>
      </c>
      <c r="BB184" s="7" t="s">
        <v>230</v>
      </c>
    </row>
    <row r="185" spans="1:54" ht="297">
      <c r="A185" s="105" t="s">
        <v>252</v>
      </c>
      <c r="B185" s="105" t="s">
        <v>252</v>
      </c>
      <c r="C185" s="105" t="s">
        <v>252</v>
      </c>
      <c r="D185" s="105" t="s">
        <v>869</v>
      </c>
      <c r="E185" s="106" t="s">
        <v>870</v>
      </c>
      <c r="F185" s="107" t="s">
        <v>255</v>
      </c>
      <c r="G185" s="108">
        <v>1</v>
      </c>
      <c r="H185" s="107"/>
      <c r="I185" s="109"/>
      <c r="J185" s="110"/>
      <c r="K185" s="111"/>
      <c r="L185" s="112"/>
      <c r="M185" s="110"/>
      <c r="N185" s="113"/>
      <c r="O185" s="113"/>
      <c r="P185" s="113"/>
      <c r="Q185" s="114" t="s">
        <v>256</v>
      </c>
      <c r="R185" s="115" t="s">
        <v>256</v>
      </c>
      <c r="S185" s="115" t="s">
        <v>256</v>
      </c>
      <c r="T185" s="115" t="s">
        <v>256</v>
      </c>
      <c r="U185" s="115" t="s">
        <v>256</v>
      </c>
      <c r="V185" s="116" t="s">
        <v>252</v>
      </c>
      <c r="W185" s="117" t="s">
        <v>252</v>
      </c>
      <c r="X185" s="118" t="s">
        <v>252</v>
      </c>
      <c r="Y185" s="119" t="s">
        <v>252</v>
      </c>
      <c r="Z185" s="120" t="s">
        <v>257</v>
      </c>
      <c r="AA185" s="121" t="s">
        <v>252</v>
      </c>
      <c r="AB185" s="121" t="s">
        <v>252</v>
      </c>
      <c r="AC185" s="121" t="s">
        <v>252</v>
      </c>
      <c r="AD185" s="122" t="s">
        <v>252</v>
      </c>
      <c r="AE185" s="123" t="s">
        <v>252</v>
      </c>
      <c r="AF185" s="123">
        <f>AH185/1.19</f>
        <v>241626.05042016809</v>
      </c>
      <c r="AG185" s="123">
        <f>AF185*19%</f>
        <v>45908.94957983194</v>
      </c>
      <c r="AH185" s="123">
        <v>287535</v>
      </c>
      <c r="AI185" s="124" t="s">
        <v>252</v>
      </c>
      <c r="AJ185" s="125" t="s">
        <v>252</v>
      </c>
      <c r="AK185" s="126" t="s">
        <v>252</v>
      </c>
      <c r="AL185" s="127" t="s">
        <v>252</v>
      </c>
      <c r="AM185" s="128" t="s">
        <v>258</v>
      </c>
      <c r="AN185" s="129" t="s">
        <v>252</v>
      </c>
      <c r="AO185" s="129" t="s">
        <v>252</v>
      </c>
      <c r="AP185" s="130" t="s">
        <v>252</v>
      </c>
      <c r="AQ185" s="131">
        <v>234622</v>
      </c>
      <c r="AR185" s="132">
        <v>44578</v>
      </c>
      <c r="AS185" s="132">
        <v>279200</v>
      </c>
      <c r="AT185" s="132">
        <v>234622</v>
      </c>
      <c r="AU185" s="132">
        <v>279200</v>
      </c>
      <c r="AV185" s="133">
        <f t="shared" si="83"/>
        <v>260413</v>
      </c>
      <c r="AW185" s="133">
        <f t="shared" si="84"/>
        <v>260413</v>
      </c>
      <c r="AX185" s="133" t="str">
        <f t="shared" si="85"/>
        <v/>
      </c>
      <c r="AY185" s="134">
        <v>2.0799999999999999E-2</v>
      </c>
      <c r="AZ185" s="5"/>
      <c r="BA185" s="7"/>
      <c r="BB185" s="7"/>
    </row>
    <row r="186" spans="1:54" ht="54">
      <c r="A186" s="105" t="s">
        <v>181</v>
      </c>
      <c r="B186" s="105" t="s">
        <v>182</v>
      </c>
      <c r="C186" s="105">
        <v>55121720</v>
      </c>
      <c r="D186" s="105" t="s">
        <v>871</v>
      </c>
      <c r="E186" s="106" t="s">
        <v>872</v>
      </c>
      <c r="F186" s="107" t="s">
        <v>185</v>
      </c>
      <c r="G186" s="108">
        <v>1</v>
      </c>
      <c r="H186" s="107" t="s">
        <v>186</v>
      </c>
      <c r="I186" s="109" t="s">
        <v>234</v>
      </c>
      <c r="J186" s="110">
        <v>46070</v>
      </c>
      <c r="K186" s="111" t="s">
        <v>201</v>
      </c>
      <c r="L186" s="112" t="s">
        <v>189</v>
      </c>
      <c r="M186" s="110" t="s">
        <v>197</v>
      </c>
      <c r="N186" s="113">
        <v>18000</v>
      </c>
      <c r="O186" s="113" t="s">
        <v>198</v>
      </c>
      <c r="P186" s="113" t="s">
        <v>192</v>
      </c>
      <c r="Q186" s="114">
        <f>IF(O186="IVA Incluido",(N186/1.19),N186)</f>
        <v>18000</v>
      </c>
      <c r="R186" s="115">
        <f t="shared" ref="R186:R191" si="120">IF(P186="Si tiene IVA",Q186*19%,0)</f>
        <v>3420</v>
      </c>
      <c r="S186" s="115">
        <f t="shared" ref="S186:S191" si="121">Q186+R186</f>
        <v>21420</v>
      </c>
      <c r="T186" s="115">
        <f t="shared" ref="T186:T191" si="122">IF(B186="","",(N186*G186))</f>
        <v>18000</v>
      </c>
      <c r="U186" s="115">
        <f t="shared" ref="U186:U191" si="123">IF(B186="","",(S186*G186))</f>
        <v>21420</v>
      </c>
      <c r="V186" s="116" t="s">
        <v>187</v>
      </c>
      <c r="W186" s="117">
        <v>46078</v>
      </c>
      <c r="X186" s="118" t="s">
        <v>203</v>
      </c>
      <c r="Y186" s="119" t="s">
        <v>194</v>
      </c>
      <c r="Z186" s="120" t="s">
        <v>873</v>
      </c>
      <c r="AA186" s="121">
        <v>12500</v>
      </c>
      <c r="AB186" s="121" t="s">
        <v>198</v>
      </c>
      <c r="AC186" s="121" t="s">
        <v>192</v>
      </c>
      <c r="AD186" s="122">
        <f>IF(AB186="IVA Incluido",(AA186/1.19),AA186)</f>
        <v>12500</v>
      </c>
      <c r="AE186" s="123">
        <f t="shared" ref="AE186:AE191" si="124">IF(AC186="Si tiene IVA",AD186*19%,0)</f>
        <v>2375</v>
      </c>
      <c r="AF186" s="123">
        <f t="shared" ref="AF186:AF191" si="125">AD186+AE186</f>
        <v>14875</v>
      </c>
      <c r="AG186" s="123">
        <f t="shared" ref="AG186:AG191" si="126">IF(O186="","",(AA186*G186))</f>
        <v>12500</v>
      </c>
      <c r="AH186" s="123">
        <f t="shared" ref="AH186:AH191" si="127">IF(O186="","",(AF186*G186))</f>
        <v>14875</v>
      </c>
      <c r="AI186" s="124" t="s">
        <v>187</v>
      </c>
      <c r="AJ186" s="125">
        <v>46078</v>
      </c>
      <c r="AK186" s="126" t="s">
        <v>193</v>
      </c>
      <c r="AL186" s="127" t="s">
        <v>189</v>
      </c>
      <c r="AM186" s="128" t="s">
        <v>205</v>
      </c>
      <c r="AN186" s="129">
        <v>18000</v>
      </c>
      <c r="AO186" s="129" t="s">
        <v>191</v>
      </c>
      <c r="AP186" s="130" t="s">
        <v>192</v>
      </c>
      <c r="AQ186" s="131">
        <f t="shared" ref="AQ186:AQ191" si="128">IF(AO186="IVA Incluido",(AN186/1.19),AN186)</f>
        <v>15126.050420168069</v>
      </c>
      <c r="AR186" s="132">
        <f t="shared" ref="AR186:AR191" si="129">IF(AP186="Si tiene IVA",AQ186*19%,0)</f>
        <v>2873.9495798319331</v>
      </c>
      <c r="AS186" s="132">
        <f t="shared" ref="AS186:AS191" si="130">AQ186+AR186</f>
        <v>18000</v>
      </c>
      <c r="AT186" s="132">
        <f t="shared" ref="AT186:AT191" si="131">IF(AB186="","",(AN186*G186))</f>
        <v>18000</v>
      </c>
      <c r="AU186" s="132">
        <f t="shared" ref="AU186:AU191" si="132">IF(AB186="","",(AS186*G186))</f>
        <v>18000</v>
      </c>
      <c r="AV186" s="133">
        <f t="shared" si="83"/>
        <v>18098</v>
      </c>
      <c r="AW186" s="133">
        <f t="shared" si="84"/>
        <v>18098</v>
      </c>
      <c r="AX186" s="133">
        <f t="shared" si="85"/>
        <v>3274</v>
      </c>
      <c r="AY186" s="134">
        <f t="shared" ref="AY186:AY191" si="133">IF(N186="","",(AX186/AW186))</f>
        <v>0.18090396728920322</v>
      </c>
      <c r="AZ186" s="5"/>
      <c r="BA186" s="7">
        <f t="shared" ref="BA186:BA191" si="134">COUNTA(M186,Z186,AM186)</f>
        <v>3</v>
      </c>
      <c r="BB186" s="7"/>
    </row>
    <row r="187" spans="1:54" ht="54">
      <c r="A187" s="105" t="s">
        <v>181</v>
      </c>
      <c r="B187" s="105" t="s">
        <v>182</v>
      </c>
      <c r="C187" s="105">
        <v>55121720</v>
      </c>
      <c r="D187" s="105" t="s">
        <v>874</v>
      </c>
      <c r="E187" s="106" t="s">
        <v>875</v>
      </c>
      <c r="F187" s="107" t="s">
        <v>185</v>
      </c>
      <c r="G187" s="108">
        <v>1</v>
      </c>
      <c r="H187" s="107" t="s">
        <v>186</v>
      </c>
      <c r="I187" s="109" t="s">
        <v>187</v>
      </c>
      <c r="J187" s="110">
        <v>46078</v>
      </c>
      <c r="K187" s="111" t="s">
        <v>201</v>
      </c>
      <c r="L187" s="112" t="s">
        <v>189</v>
      </c>
      <c r="M187" s="110" t="s">
        <v>197</v>
      </c>
      <c r="N187" s="113">
        <v>18000</v>
      </c>
      <c r="O187" s="113" t="s">
        <v>198</v>
      </c>
      <c r="P187" s="113" t="s">
        <v>192</v>
      </c>
      <c r="Q187" s="114">
        <v>18000</v>
      </c>
      <c r="R187" s="115">
        <f t="shared" si="120"/>
        <v>3420</v>
      </c>
      <c r="S187" s="115">
        <f t="shared" si="121"/>
        <v>21420</v>
      </c>
      <c r="T187" s="115">
        <f t="shared" si="122"/>
        <v>18000</v>
      </c>
      <c r="U187" s="115">
        <f t="shared" si="123"/>
        <v>21420</v>
      </c>
      <c r="V187" s="116" t="s">
        <v>187</v>
      </c>
      <c r="W187" s="117">
        <v>46078</v>
      </c>
      <c r="X187" s="118" t="s">
        <v>203</v>
      </c>
      <c r="Y187" s="119" t="s">
        <v>194</v>
      </c>
      <c r="Z187" s="120" t="s">
        <v>203</v>
      </c>
      <c r="AA187" s="121">
        <v>12500</v>
      </c>
      <c r="AB187" s="121" t="s">
        <v>198</v>
      </c>
      <c r="AC187" s="121" t="s">
        <v>192</v>
      </c>
      <c r="AD187" s="122">
        <v>12500</v>
      </c>
      <c r="AE187" s="123">
        <f t="shared" si="124"/>
        <v>2375</v>
      </c>
      <c r="AF187" s="123">
        <f t="shared" si="125"/>
        <v>14875</v>
      </c>
      <c r="AG187" s="123">
        <f t="shared" si="126"/>
        <v>12500</v>
      </c>
      <c r="AH187" s="123">
        <f t="shared" si="127"/>
        <v>14875</v>
      </c>
      <c r="AI187" s="124" t="s">
        <v>187</v>
      </c>
      <c r="AJ187" s="125">
        <v>46078</v>
      </c>
      <c r="AK187" s="126" t="s">
        <v>193</v>
      </c>
      <c r="AL187" s="127" t="s">
        <v>189</v>
      </c>
      <c r="AM187" s="128" t="s">
        <v>205</v>
      </c>
      <c r="AN187" s="129">
        <v>18000</v>
      </c>
      <c r="AO187" s="129" t="s">
        <v>191</v>
      </c>
      <c r="AP187" s="130" t="s">
        <v>192</v>
      </c>
      <c r="AQ187" s="131">
        <f t="shared" si="128"/>
        <v>15126.050420168069</v>
      </c>
      <c r="AR187" s="132">
        <f t="shared" si="129"/>
        <v>2873.9495798319331</v>
      </c>
      <c r="AS187" s="132">
        <f t="shared" si="130"/>
        <v>18000</v>
      </c>
      <c r="AT187" s="132">
        <f t="shared" si="131"/>
        <v>18000</v>
      </c>
      <c r="AU187" s="132">
        <f t="shared" si="132"/>
        <v>18000</v>
      </c>
      <c r="AV187" s="133">
        <f t="shared" si="83"/>
        <v>18098</v>
      </c>
      <c r="AW187" s="133">
        <f t="shared" si="84"/>
        <v>18098</v>
      </c>
      <c r="AX187" s="133">
        <f t="shared" si="85"/>
        <v>3274</v>
      </c>
      <c r="AY187" s="134">
        <f t="shared" si="133"/>
        <v>0.18090396728920322</v>
      </c>
      <c r="AZ187" s="5"/>
      <c r="BA187" s="7">
        <f t="shared" si="134"/>
        <v>3</v>
      </c>
      <c r="BB187" s="7"/>
    </row>
    <row r="188" spans="1:54" ht="54">
      <c r="A188" s="105" t="s">
        <v>181</v>
      </c>
      <c r="B188" s="105" t="s">
        <v>182</v>
      </c>
      <c r="C188" s="105">
        <v>55121720</v>
      </c>
      <c r="D188" s="105" t="s">
        <v>876</v>
      </c>
      <c r="E188" s="106" t="s">
        <v>877</v>
      </c>
      <c r="F188" s="107" t="s">
        <v>185</v>
      </c>
      <c r="G188" s="108">
        <v>1</v>
      </c>
      <c r="H188" s="107" t="s">
        <v>186</v>
      </c>
      <c r="I188" s="109" t="s">
        <v>187</v>
      </c>
      <c r="J188" s="110">
        <v>46078</v>
      </c>
      <c r="K188" s="111" t="s">
        <v>201</v>
      </c>
      <c r="L188" s="112" t="s">
        <v>189</v>
      </c>
      <c r="M188" s="110" t="s">
        <v>197</v>
      </c>
      <c r="N188" s="113">
        <v>18000</v>
      </c>
      <c r="O188" s="113" t="s">
        <v>198</v>
      </c>
      <c r="P188" s="113" t="s">
        <v>192</v>
      </c>
      <c r="Q188" s="114">
        <v>18000</v>
      </c>
      <c r="R188" s="115">
        <f t="shared" si="120"/>
        <v>3420</v>
      </c>
      <c r="S188" s="115">
        <f t="shared" si="121"/>
        <v>21420</v>
      </c>
      <c r="T188" s="115">
        <f t="shared" si="122"/>
        <v>18000</v>
      </c>
      <c r="U188" s="115">
        <f t="shared" si="123"/>
        <v>21420</v>
      </c>
      <c r="V188" s="116" t="s">
        <v>187</v>
      </c>
      <c r="W188" s="117">
        <v>46078</v>
      </c>
      <c r="X188" s="118" t="s">
        <v>203</v>
      </c>
      <c r="Y188" s="119" t="s">
        <v>194</v>
      </c>
      <c r="Z188" s="120" t="s">
        <v>203</v>
      </c>
      <c r="AA188" s="121">
        <v>12500</v>
      </c>
      <c r="AB188" s="121" t="s">
        <v>198</v>
      </c>
      <c r="AC188" s="121" t="s">
        <v>192</v>
      </c>
      <c r="AD188" s="122">
        <v>12500</v>
      </c>
      <c r="AE188" s="123">
        <f t="shared" si="124"/>
        <v>2375</v>
      </c>
      <c r="AF188" s="123">
        <f t="shared" si="125"/>
        <v>14875</v>
      </c>
      <c r="AG188" s="123">
        <f t="shared" si="126"/>
        <v>12500</v>
      </c>
      <c r="AH188" s="123">
        <f t="shared" si="127"/>
        <v>14875</v>
      </c>
      <c r="AI188" s="124" t="s">
        <v>187</v>
      </c>
      <c r="AJ188" s="125">
        <v>46078</v>
      </c>
      <c r="AK188" s="126" t="s">
        <v>193</v>
      </c>
      <c r="AL188" s="127" t="s">
        <v>189</v>
      </c>
      <c r="AM188" s="128" t="s">
        <v>205</v>
      </c>
      <c r="AN188" s="129">
        <v>18000</v>
      </c>
      <c r="AO188" s="129" t="s">
        <v>191</v>
      </c>
      <c r="AP188" s="130" t="s">
        <v>192</v>
      </c>
      <c r="AQ188" s="131">
        <f t="shared" si="128"/>
        <v>15126.050420168069</v>
      </c>
      <c r="AR188" s="132">
        <f t="shared" si="129"/>
        <v>2873.9495798319331</v>
      </c>
      <c r="AS188" s="132">
        <f t="shared" si="130"/>
        <v>18000</v>
      </c>
      <c r="AT188" s="132">
        <f t="shared" si="131"/>
        <v>18000</v>
      </c>
      <c r="AU188" s="132">
        <f t="shared" si="132"/>
        <v>18000</v>
      </c>
      <c r="AV188" s="133">
        <f t="shared" si="83"/>
        <v>18098</v>
      </c>
      <c r="AW188" s="133">
        <f t="shared" si="84"/>
        <v>18098</v>
      </c>
      <c r="AX188" s="133">
        <f t="shared" si="85"/>
        <v>3274</v>
      </c>
      <c r="AY188" s="134">
        <f t="shared" si="133"/>
        <v>0.18090396728920322</v>
      </c>
      <c r="AZ188" s="5"/>
      <c r="BA188" s="7">
        <f t="shared" si="134"/>
        <v>3</v>
      </c>
      <c r="BB188" s="7"/>
    </row>
    <row r="189" spans="1:54" ht="94.5">
      <c r="A189" s="105" t="s">
        <v>181</v>
      </c>
      <c r="B189" s="105" t="s">
        <v>259</v>
      </c>
      <c r="C189" s="105"/>
      <c r="D189" s="105" t="s">
        <v>878</v>
      </c>
      <c r="E189" s="106" t="s">
        <v>879</v>
      </c>
      <c r="F189" s="107" t="s">
        <v>185</v>
      </c>
      <c r="G189" s="108">
        <v>1</v>
      </c>
      <c r="H189" s="107" t="s">
        <v>186</v>
      </c>
      <c r="I189" s="109" t="s">
        <v>200</v>
      </c>
      <c r="J189" s="110">
        <v>46092</v>
      </c>
      <c r="K189" s="111" t="s">
        <v>608</v>
      </c>
      <c r="L189" s="112" t="s">
        <v>189</v>
      </c>
      <c r="M189" s="110" t="s">
        <v>609</v>
      </c>
      <c r="N189" s="113">
        <v>11000</v>
      </c>
      <c r="O189" s="113" t="s">
        <v>198</v>
      </c>
      <c r="P189" s="113" t="s">
        <v>192</v>
      </c>
      <c r="Q189" s="114">
        <f>IF(O189="IVA Incluido",(N189/1.19),N189)</f>
        <v>11000</v>
      </c>
      <c r="R189" s="115">
        <f t="shared" si="120"/>
        <v>2090</v>
      </c>
      <c r="S189" s="115">
        <f t="shared" si="121"/>
        <v>13090</v>
      </c>
      <c r="T189" s="115">
        <f t="shared" si="122"/>
        <v>11000</v>
      </c>
      <c r="U189" s="115">
        <f t="shared" si="123"/>
        <v>13090</v>
      </c>
      <c r="V189" s="116" t="s">
        <v>200</v>
      </c>
      <c r="W189" s="117">
        <v>46092</v>
      </c>
      <c r="X189" s="118" t="s">
        <v>880</v>
      </c>
      <c r="Y189" s="119" t="s">
        <v>194</v>
      </c>
      <c r="Z189" s="120" t="s">
        <v>881</v>
      </c>
      <c r="AA189" s="121">
        <v>14900</v>
      </c>
      <c r="AB189" s="121" t="s">
        <v>191</v>
      </c>
      <c r="AC189" s="121" t="s">
        <v>192</v>
      </c>
      <c r="AD189" s="122">
        <f>IF(AB189="IVA Incluido",(AA189/1.19),AA189)</f>
        <v>12521.008403361346</v>
      </c>
      <c r="AE189" s="123">
        <f t="shared" si="124"/>
        <v>2378.9915966386557</v>
      </c>
      <c r="AF189" s="123">
        <f t="shared" si="125"/>
        <v>14900.000000000002</v>
      </c>
      <c r="AG189" s="123">
        <f t="shared" si="126"/>
        <v>14900</v>
      </c>
      <c r="AH189" s="123">
        <f t="shared" si="127"/>
        <v>14900.000000000002</v>
      </c>
      <c r="AI189" s="124" t="s">
        <v>200</v>
      </c>
      <c r="AJ189" s="125">
        <v>46092</v>
      </c>
      <c r="AK189" s="126" t="s">
        <v>882</v>
      </c>
      <c r="AL189" s="127" t="s">
        <v>194</v>
      </c>
      <c r="AM189" s="128" t="s">
        <v>883</v>
      </c>
      <c r="AN189" s="129">
        <v>19900</v>
      </c>
      <c r="AO189" s="129" t="s">
        <v>191</v>
      </c>
      <c r="AP189" s="130" t="s">
        <v>192</v>
      </c>
      <c r="AQ189" s="131">
        <f t="shared" si="128"/>
        <v>16722.689075630253</v>
      </c>
      <c r="AR189" s="132">
        <f t="shared" si="129"/>
        <v>3177.3109243697481</v>
      </c>
      <c r="AS189" s="132">
        <f t="shared" si="130"/>
        <v>19900</v>
      </c>
      <c r="AT189" s="132">
        <f t="shared" si="131"/>
        <v>19900</v>
      </c>
      <c r="AU189" s="132">
        <f t="shared" si="132"/>
        <v>19900</v>
      </c>
      <c r="AV189" s="133">
        <f t="shared" si="83"/>
        <v>15963</v>
      </c>
      <c r="AW189" s="133">
        <f t="shared" si="84"/>
        <v>15963</v>
      </c>
      <c r="AX189" s="133">
        <f t="shared" si="85"/>
        <v>3527</v>
      </c>
      <c r="AY189" s="134">
        <f t="shared" si="133"/>
        <v>0.2209484432750736</v>
      </c>
      <c r="AZ189" s="5"/>
      <c r="BA189" s="7">
        <f t="shared" si="134"/>
        <v>3</v>
      </c>
      <c r="BB189" s="7"/>
    </row>
    <row r="190" spans="1:54" ht="67.5">
      <c r="A190" s="105" t="s">
        <v>181</v>
      </c>
      <c r="B190" s="105" t="s">
        <v>259</v>
      </c>
      <c r="C190" s="105">
        <v>60121211</v>
      </c>
      <c r="D190" s="105" t="s">
        <v>884</v>
      </c>
      <c r="E190" s="106" t="s">
        <v>885</v>
      </c>
      <c r="F190" s="107" t="s">
        <v>185</v>
      </c>
      <c r="G190" s="108">
        <v>1</v>
      </c>
      <c r="H190" s="107" t="s">
        <v>186</v>
      </c>
      <c r="I190" s="109" t="s">
        <v>187</v>
      </c>
      <c r="J190" s="110">
        <v>46091</v>
      </c>
      <c r="K190" s="111" t="s">
        <v>886</v>
      </c>
      <c r="L190" s="112" t="s">
        <v>194</v>
      </c>
      <c r="M190" s="110" t="s">
        <v>887</v>
      </c>
      <c r="N190" s="113">
        <v>42900</v>
      </c>
      <c r="O190" s="113" t="s">
        <v>191</v>
      </c>
      <c r="P190" s="113" t="s">
        <v>192</v>
      </c>
      <c r="Q190" s="114">
        <f>IF(O190="IVA Incluido",(N190/1.19),N190)</f>
        <v>36050.420168067227</v>
      </c>
      <c r="R190" s="115">
        <f t="shared" si="120"/>
        <v>6849.5798319327732</v>
      </c>
      <c r="S190" s="115">
        <f t="shared" si="121"/>
        <v>42900</v>
      </c>
      <c r="T190" s="115">
        <f t="shared" si="122"/>
        <v>42900</v>
      </c>
      <c r="U190" s="115">
        <f t="shared" si="123"/>
        <v>42900</v>
      </c>
      <c r="V190" s="116" t="s">
        <v>187</v>
      </c>
      <c r="W190" s="117">
        <v>46091</v>
      </c>
      <c r="X190" s="118" t="s">
        <v>888</v>
      </c>
      <c r="Y190" s="119" t="s">
        <v>189</v>
      </c>
      <c r="Z190" s="120" t="s">
        <v>734</v>
      </c>
      <c r="AA190" s="121">
        <v>49500</v>
      </c>
      <c r="AB190" s="121" t="s">
        <v>191</v>
      </c>
      <c r="AC190" s="121" t="s">
        <v>192</v>
      </c>
      <c r="AD190" s="122">
        <f>IF(AB190="IVA Incluido",(AA190/1.19),AA190)</f>
        <v>41596.638655462186</v>
      </c>
      <c r="AE190" s="123">
        <f t="shared" si="124"/>
        <v>7903.3613445378151</v>
      </c>
      <c r="AF190" s="123">
        <f t="shared" si="125"/>
        <v>49500</v>
      </c>
      <c r="AG190" s="123">
        <f t="shared" si="126"/>
        <v>49500</v>
      </c>
      <c r="AH190" s="123">
        <f t="shared" si="127"/>
        <v>49500</v>
      </c>
      <c r="AI190" s="124" t="s">
        <v>187</v>
      </c>
      <c r="AJ190" s="125">
        <v>46091</v>
      </c>
      <c r="AK190" s="126" t="s">
        <v>889</v>
      </c>
      <c r="AL190" s="127" t="s">
        <v>194</v>
      </c>
      <c r="AM190" s="128" t="s">
        <v>890</v>
      </c>
      <c r="AN190" s="129">
        <v>41000</v>
      </c>
      <c r="AO190" s="129" t="s">
        <v>191</v>
      </c>
      <c r="AP190" s="130" t="s">
        <v>192</v>
      </c>
      <c r="AQ190" s="131">
        <f t="shared" si="128"/>
        <v>34453.781512605041</v>
      </c>
      <c r="AR190" s="132">
        <f t="shared" si="129"/>
        <v>6546.2184873949582</v>
      </c>
      <c r="AS190" s="132">
        <f t="shared" si="130"/>
        <v>41000</v>
      </c>
      <c r="AT190" s="132">
        <f t="shared" si="131"/>
        <v>41000</v>
      </c>
      <c r="AU190" s="132">
        <f t="shared" si="132"/>
        <v>41000</v>
      </c>
      <c r="AV190" s="133">
        <f t="shared" si="83"/>
        <v>44467</v>
      </c>
      <c r="AW190" s="133">
        <f t="shared" si="84"/>
        <v>44467</v>
      </c>
      <c r="AX190" s="133">
        <f t="shared" si="85"/>
        <v>4461</v>
      </c>
      <c r="AY190" s="134">
        <f t="shared" si="133"/>
        <v>0.10032158679470168</v>
      </c>
      <c r="AZ190" s="5"/>
      <c r="BA190" s="7">
        <f t="shared" si="134"/>
        <v>3</v>
      </c>
      <c r="BB190" s="7"/>
    </row>
    <row r="191" spans="1:54" ht="81">
      <c r="A191" s="105" t="s">
        <v>181</v>
      </c>
      <c r="B191" s="105" t="s">
        <v>259</v>
      </c>
      <c r="C191" s="105">
        <v>60121211</v>
      </c>
      <c r="D191" s="105" t="s">
        <v>891</v>
      </c>
      <c r="E191" s="106" t="s">
        <v>892</v>
      </c>
      <c r="F191" s="107" t="s">
        <v>185</v>
      </c>
      <c r="G191" s="108">
        <v>1</v>
      </c>
      <c r="H191" s="107" t="s">
        <v>186</v>
      </c>
      <c r="I191" s="109" t="s">
        <v>200</v>
      </c>
      <c r="J191" s="110">
        <v>46100</v>
      </c>
      <c r="K191" s="111" t="s">
        <v>893</v>
      </c>
      <c r="L191" s="112" t="s">
        <v>194</v>
      </c>
      <c r="M191" s="110" t="s">
        <v>894</v>
      </c>
      <c r="N191" s="113">
        <v>34700</v>
      </c>
      <c r="O191" s="113" t="s">
        <v>191</v>
      </c>
      <c r="P191" s="113" t="s">
        <v>192</v>
      </c>
      <c r="Q191" s="114">
        <f>IF(O191="IVA Incluido",(N191/1.19),N191)</f>
        <v>29159.663865546219</v>
      </c>
      <c r="R191" s="115">
        <f t="shared" si="120"/>
        <v>5540.3361344537816</v>
      </c>
      <c r="S191" s="115">
        <f t="shared" si="121"/>
        <v>34700</v>
      </c>
      <c r="T191" s="115">
        <f t="shared" si="122"/>
        <v>34700</v>
      </c>
      <c r="U191" s="115">
        <f t="shared" si="123"/>
        <v>34700</v>
      </c>
      <c r="V191" s="116" t="s">
        <v>200</v>
      </c>
      <c r="W191" s="117">
        <v>46100</v>
      </c>
      <c r="X191" s="118" t="s">
        <v>264</v>
      </c>
      <c r="Y191" s="119" t="s">
        <v>194</v>
      </c>
      <c r="Z191" s="120" t="s">
        <v>895</v>
      </c>
      <c r="AA191" s="121">
        <v>27120</v>
      </c>
      <c r="AB191" s="121" t="s">
        <v>198</v>
      </c>
      <c r="AC191" s="121" t="s">
        <v>192</v>
      </c>
      <c r="AD191" s="122">
        <f>IF(AB191="IVA Incluido",(AA191/1.19),AA191)</f>
        <v>27120</v>
      </c>
      <c r="AE191" s="123">
        <f t="shared" si="124"/>
        <v>5152.8</v>
      </c>
      <c r="AF191" s="123">
        <f t="shared" si="125"/>
        <v>32272.799999999999</v>
      </c>
      <c r="AG191" s="123">
        <f t="shared" si="126"/>
        <v>27120</v>
      </c>
      <c r="AH191" s="123">
        <f t="shared" si="127"/>
        <v>32272.799999999999</v>
      </c>
      <c r="AI191" s="124" t="s">
        <v>200</v>
      </c>
      <c r="AJ191" s="125">
        <v>46100</v>
      </c>
      <c r="AK191" s="126" t="s">
        <v>447</v>
      </c>
      <c r="AL191" s="127" t="s">
        <v>194</v>
      </c>
      <c r="AM191" s="128" t="s">
        <v>896</v>
      </c>
      <c r="AN191" s="129">
        <v>33700</v>
      </c>
      <c r="AO191" s="129" t="s">
        <v>191</v>
      </c>
      <c r="AP191" s="130" t="s">
        <v>192</v>
      </c>
      <c r="AQ191" s="131">
        <f t="shared" si="128"/>
        <v>28319.327731092439</v>
      </c>
      <c r="AR191" s="132">
        <f t="shared" si="129"/>
        <v>5380.6722689075632</v>
      </c>
      <c r="AS191" s="132">
        <f t="shared" si="130"/>
        <v>33700</v>
      </c>
      <c r="AT191" s="132">
        <f t="shared" si="131"/>
        <v>33700</v>
      </c>
      <c r="AU191" s="132">
        <f t="shared" si="132"/>
        <v>33700</v>
      </c>
      <c r="AV191" s="133">
        <f t="shared" si="83"/>
        <v>33558</v>
      </c>
      <c r="AW191" s="133">
        <f t="shared" si="84"/>
        <v>33558</v>
      </c>
      <c r="AX191" s="133">
        <f t="shared" si="85"/>
        <v>1220</v>
      </c>
      <c r="AY191" s="134">
        <f t="shared" si="133"/>
        <v>3.6354967518922462E-2</v>
      </c>
      <c r="AZ191" s="5"/>
      <c r="BA191" s="7">
        <f t="shared" si="134"/>
        <v>3</v>
      </c>
      <c r="BB191" s="7"/>
    </row>
    <row r="192" spans="1:54" ht="297">
      <c r="A192" s="105" t="s">
        <v>252</v>
      </c>
      <c r="B192" s="105" t="s">
        <v>252</v>
      </c>
      <c r="C192" s="105" t="s">
        <v>252</v>
      </c>
      <c r="D192" s="105" t="s">
        <v>897</v>
      </c>
      <c r="E192" s="106" t="s">
        <v>898</v>
      </c>
      <c r="F192" s="107" t="s">
        <v>255</v>
      </c>
      <c r="G192" s="108">
        <v>1</v>
      </c>
      <c r="H192" s="107"/>
      <c r="I192" s="109"/>
      <c r="J192" s="110"/>
      <c r="K192" s="111"/>
      <c r="L192" s="112"/>
      <c r="M192" s="110"/>
      <c r="N192" s="113"/>
      <c r="O192" s="113"/>
      <c r="P192" s="113"/>
      <c r="Q192" s="114" t="s">
        <v>256</v>
      </c>
      <c r="R192" s="115" t="s">
        <v>256</v>
      </c>
      <c r="S192" s="115" t="s">
        <v>256</v>
      </c>
      <c r="T192" s="115" t="s">
        <v>256</v>
      </c>
      <c r="U192" s="115" t="s">
        <v>256</v>
      </c>
      <c r="V192" s="116" t="s">
        <v>252</v>
      </c>
      <c r="W192" s="117" t="s">
        <v>252</v>
      </c>
      <c r="X192" s="118" t="s">
        <v>252</v>
      </c>
      <c r="Y192" s="119" t="s">
        <v>252</v>
      </c>
      <c r="Z192" s="120" t="s">
        <v>257</v>
      </c>
      <c r="AA192" s="121" t="s">
        <v>252</v>
      </c>
      <c r="AB192" s="121" t="s">
        <v>252</v>
      </c>
      <c r="AC192" s="121" t="s">
        <v>252</v>
      </c>
      <c r="AD192" s="122" t="s">
        <v>252</v>
      </c>
      <c r="AE192" s="123" t="s">
        <v>252</v>
      </c>
      <c r="AF192" s="123">
        <f>AH192/1.19</f>
        <v>2533527.7310924372</v>
      </c>
      <c r="AG192" s="123">
        <f>AF192*19%</f>
        <v>481370.26890756306</v>
      </c>
      <c r="AH192" s="123">
        <v>3014898</v>
      </c>
      <c r="AI192" s="124" t="s">
        <v>252</v>
      </c>
      <c r="AJ192" s="125" t="s">
        <v>252</v>
      </c>
      <c r="AK192" s="126" t="s">
        <v>252</v>
      </c>
      <c r="AL192" s="127" t="s">
        <v>252</v>
      </c>
      <c r="AM192" s="128" t="s">
        <v>258</v>
      </c>
      <c r="AN192" s="129" t="s">
        <v>252</v>
      </c>
      <c r="AO192" s="129" t="s">
        <v>252</v>
      </c>
      <c r="AP192" s="130" t="s">
        <v>252</v>
      </c>
      <c r="AQ192" s="131">
        <v>2448084</v>
      </c>
      <c r="AR192" s="132">
        <v>465136</v>
      </c>
      <c r="AS192" s="132">
        <v>2913220</v>
      </c>
      <c r="AT192" s="132">
        <v>2448084</v>
      </c>
      <c r="AU192" s="132">
        <v>2913220</v>
      </c>
      <c r="AV192" s="133">
        <f t="shared" si="83"/>
        <v>2723374</v>
      </c>
      <c r="AW192" s="133">
        <f t="shared" si="84"/>
        <v>2723374</v>
      </c>
      <c r="AX192" s="133" t="str">
        <f t="shared" si="85"/>
        <v/>
      </c>
      <c r="AY192" s="134">
        <v>2.4299999999999999E-2</v>
      </c>
      <c r="AZ192" s="5"/>
      <c r="BA192" s="7"/>
      <c r="BB192" s="7"/>
    </row>
    <row r="193" spans="1:54" ht="121.5">
      <c r="A193" s="105" t="s">
        <v>181</v>
      </c>
      <c r="B193" s="105" t="s">
        <v>182</v>
      </c>
      <c r="C193" s="105">
        <v>53121602</v>
      </c>
      <c r="D193" s="105" t="s">
        <v>899</v>
      </c>
      <c r="E193" s="105" t="s">
        <v>900</v>
      </c>
      <c r="F193" s="107" t="s">
        <v>185</v>
      </c>
      <c r="G193" s="108">
        <v>1</v>
      </c>
      <c r="H193" s="107" t="s">
        <v>186</v>
      </c>
      <c r="I193" s="141"/>
      <c r="J193" s="142"/>
      <c r="K193" s="142"/>
      <c r="L193" s="143"/>
      <c r="M193" s="142"/>
      <c r="N193" s="144"/>
      <c r="O193" s="144"/>
      <c r="P193" s="144"/>
      <c r="Q193" s="145"/>
      <c r="R193" s="146"/>
      <c r="S193" s="146"/>
      <c r="T193" s="146"/>
      <c r="U193" s="146"/>
      <c r="V193" s="147" t="s">
        <v>234</v>
      </c>
      <c r="W193" s="148">
        <v>46087</v>
      </c>
      <c r="X193" s="149"/>
      <c r="Y193" s="150" t="s">
        <v>194</v>
      </c>
      <c r="Z193" s="150" t="s">
        <v>217</v>
      </c>
      <c r="AA193" s="151">
        <v>15000</v>
      </c>
      <c r="AB193" s="151" t="s">
        <v>198</v>
      </c>
      <c r="AC193" s="151" t="s">
        <v>198</v>
      </c>
      <c r="AD193" s="152">
        <v>15000</v>
      </c>
      <c r="AE193" s="153">
        <f>IF(AC193="Si tiene IVA",AD193*19%,0)</f>
        <v>0</v>
      </c>
      <c r="AF193" s="153">
        <f>AD193+AE193</f>
        <v>15000</v>
      </c>
      <c r="AG193" s="153">
        <f>IF(C193="","",(AA193*G193))</f>
        <v>15000</v>
      </c>
      <c r="AH193" s="153">
        <f>IF(C193="","",(AF193*G193))</f>
        <v>15000</v>
      </c>
      <c r="AI193" s="154" t="s">
        <v>234</v>
      </c>
      <c r="AJ193" s="155">
        <v>46087</v>
      </c>
      <c r="AK193" s="156" t="s">
        <v>235</v>
      </c>
      <c r="AL193" s="157" t="s">
        <v>194</v>
      </c>
      <c r="AM193" s="158" t="s">
        <v>212</v>
      </c>
      <c r="AN193" s="159">
        <v>12000</v>
      </c>
      <c r="AO193" s="130" t="s">
        <v>198</v>
      </c>
      <c r="AP193" s="130" t="s">
        <v>192</v>
      </c>
      <c r="AQ193" s="131">
        <f>IF(AO193="IVA Incluido",(AN193/1.19),AN193)</f>
        <v>12000</v>
      </c>
      <c r="AR193" s="132">
        <f>IF(AP193="Si tiene IVA",AQ193*19%,0)</f>
        <v>2280</v>
      </c>
      <c r="AS193" s="132">
        <f>AQ193+AR193</f>
        <v>14280</v>
      </c>
      <c r="AT193" s="132">
        <f>IF(AB193="","",(AN193*G193))</f>
        <v>12000</v>
      </c>
      <c r="AU193" s="132">
        <f>IF(AB193="","",(AS193*G193))</f>
        <v>14280</v>
      </c>
      <c r="AV193" s="133">
        <f t="shared" si="83"/>
        <v>14640</v>
      </c>
      <c r="AW193" s="133">
        <f t="shared" si="84"/>
        <v>14640</v>
      </c>
      <c r="AX193" s="133" t="str">
        <f t="shared" si="85"/>
        <v/>
      </c>
      <c r="AY193" s="134" t="e">
        <f>IF(C193="","",(AX193/AW193))</f>
        <v>#VALUE!</v>
      </c>
      <c r="AZ193" s="5"/>
      <c r="BA193" s="7" t="s">
        <v>713</v>
      </c>
      <c r="BB193" s="7" t="s">
        <v>220</v>
      </c>
    </row>
    <row r="194" spans="1:54" ht="81">
      <c r="A194" s="105" t="s">
        <v>181</v>
      </c>
      <c r="B194" s="105" t="s">
        <v>259</v>
      </c>
      <c r="C194" s="105">
        <v>52121507</v>
      </c>
      <c r="D194" s="105" t="s">
        <v>901</v>
      </c>
      <c r="E194" s="106" t="s">
        <v>902</v>
      </c>
      <c r="F194" s="107" t="s">
        <v>185</v>
      </c>
      <c r="G194" s="108">
        <v>1</v>
      </c>
      <c r="H194" s="107" t="s">
        <v>186</v>
      </c>
      <c r="I194" s="109" t="s">
        <v>187</v>
      </c>
      <c r="J194" s="110">
        <v>46091</v>
      </c>
      <c r="K194" s="111" t="s">
        <v>747</v>
      </c>
      <c r="L194" s="112" t="s">
        <v>189</v>
      </c>
      <c r="M194" s="110" t="s">
        <v>903</v>
      </c>
      <c r="N194" s="113">
        <v>5200</v>
      </c>
      <c r="O194" s="113" t="s">
        <v>191</v>
      </c>
      <c r="P194" s="113" t="s">
        <v>192</v>
      </c>
      <c r="Q194" s="114">
        <f>IF(O194="IVA Incluido",(N194/1.19),N194)</f>
        <v>4369.7478991596645</v>
      </c>
      <c r="R194" s="115">
        <f>IF(P194="Si tiene IVA",Q194*19%,0)</f>
        <v>830.25210084033631</v>
      </c>
      <c r="S194" s="115">
        <f>Q194+R194</f>
        <v>5200.0000000000009</v>
      </c>
      <c r="T194" s="115">
        <f>IF(B194="","",(N194*G194))</f>
        <v>5200</v>
      </c>
      <c r="U194" s="115">
        <f>IF(B194="","",(S194*G194))</f>
        <v>5200.0000000000009</v>
      </c>
      <c r="V194" s="116" t="s">
        <v>187</v>
      </c>
      <c r="W194" s="117">
        <v>46091</v>
      </c>
      <c r="X194" s="118" t="s">
        <v>904</v>
      </c>
      <c r="Y194" s="119" t="s">
        <v>194</v>
      </c>
      <c r="Z194" s="120" t="s">
        <v>905</v>
      </c>
      <c r="AA194" s="121">
        <v>7500</v>
      </c>
      <c r="AB194" s="121" t="s">
        <v>191</v>
      </c>
      <c r="AC194" s="121" t="s">
        <v>192</v>
      </c>
      <c r="AD194" s="122">
        <f>IF(AB194="IVA Incluido",(AA194/1.19),AA194)</f>
        <v>6302.5210084033615</v>
      </c>
      <c r="AE194" s="123">
        <f>IF(AC194="Si tiene IVA",AD194*19%,0)</f>
        <v>1197.4789915966387</v>
      </c>
      <c r="AF194" s="123">
        <f>AD194+AE194</f>
        <v>7500</v>
      </c>
      <c r="AG194" s="123">
        <f>IF(O194="","",(AA194*G194))</f>
        <v>7500</v>
      </c>
      <c r="AH194" s="123">
        <f>IF(O194="","",(AF194*G194))</f>
        <v>7500</v>
      </c>
      <c r="AI194" s="124" t="s">
        <v>187</v>
      </c>
      <c r="AJ194" s="125">
        <v>46091</v>
      </c>
      <c r="AK194" s="126" t="s">
        <v>906</v>
      </c>
      <c r="AL194" s="127" t="s">
        <v>189</v>
      </c>
      <c r="AM194" s="128" t="s">
        <v>907</v>
      </c>
      <c r="AN194" s="129">
        <v>5900</v>
      </c>
      <c r="AO194" s="129" t="s">
        <v>191</v>
      </c>
      <c r="AP194" s="130" t="s">
        <v>192</v>
      </c>
      <c r="AQ194" s="131">
        <f>IF(AO194="IVA Incluido",(AN194/1.19),AN194)</f>
        <v>4957.9831932773113</v>
      </c>
      <c r="AR194" s="132">
        <f>IF(AP194="Si tiene IVA",AQ194*19%,0)</f>
        <v>942.01680672268913</v>
      </c>
      <c r="AS194" s="132">
        <f>AQ194+AR194</f>
        <v>5900</v>
      </c>
      <c r="AT194" s="132">
        <f>IF(AB194="","",(AN194*G194))</f>
        <v>5900</v>
      </c>
      <c r="AU194" s="132">
        <f>IF(AB194="","",(AS194*G194))</f>
        <v>5900</v>
      </c>
      <c r="AV194" s="133">
        <f t="shared" si="83"/>
        <v>6200</v>
      </c>
      <c r="AW194" s="133">
        <f t="shared" si="84"/>
        <v>6200</v>
      </c>
      <c r="AX194" s="133">
        <f t="shared" si="85"/>
        <v>1179</v>
      </c>
      <c r="AY194" s="134">
        <f>IF(N194="","",(AX194/AW194))</f>
        <v>0.19016129032258064</v>
      </c>
      <c r="AZ194" s="5"/>
      <c r="BA194" s="7">
        <f>COUNTA(M194,Z194,AM194)</f>
        <v>3</v>
      </c>
      <c r="BB194" s="7"/>
    </row>
    <row r="195" spans="1:54" ht="67.5">
      <c r="A195" s="105" t="s">
        <v>181</v>
      </c>
      <c r="B195" s="105" t="s">
        <v>259</v>
      </c>
      <c r="C195" s="105"/>
      <c r="D195" s="105" t="s">
        <v>908</v>
      </c>
      <c r="E195" s="106" t="s">
        <v>909</v>
      </c>
      <c r="F195" s="107" t="s">
        <v>185</v>
      </c>
      <c r="G195" s="108">
        <v>1</v>
      </c>
      <c r="H195" s="107" t="s">
        <v>186</v>
      </c>
      <c r="I195" s="109" t="s">
        <v>187</v>
      </c>
      <c r="J195" s="110">
        <v>46091</v>
      </c>
      <c r="K195" s="111" t="s">
        <v>608</v>
      </c>
      <c r="L195" s="112" t="s">
        <v>194</v>
      </c>
      <c r="M195" s="110" t="s">
        <v>609</v>
      </c>
      <c r="N195" s="113">
        <v>7000</v>
      </c>
      <c r="O195" s="113" t="s">
        <v>198</v>
      </c>
      <c r="P195" s="113" t="s">
        <v>192</v>
      </c>
      <c r="Q195" s="114">
        <f>IF(O195="IVA Incluido",(N195/1.19),N195)</f>
        <v>7000</v>
      </c>
      <c r="R195" s="115">
        <f>IF(P195="Si tiene IVA",Q195*19%,0)</f>
        <v>1330</v>
      </c>
      <c r="S195" s="115">
        <f>Q195+R195</f>
        <v>8330</v>
      </c>
      <c r="T195" s="115">
        <f>IF(B195="","",(N195*G195))</f>
        <v>7000</v>
      </c>
      <c r="U195" s="115">
        <f>IF(B195="","",(S195*G195))</f>
        <v>8330</v>
      </c>
      <c r="V195" s="116" t="s">
        <v>187</v>
      </c>
      <c r="W195" s="117">
        <v>46091</v>
      </c>
      <c r="X195" s="118" t="s">
        <v>747</v>
      </c>
      <c r="Y195" s="119" t="s">
        <v>194</v>
      </c>
      <c r="Z195" s="120" t="s">
        <v>903</v>
      </c>
      <c r="AA195" s="121">
        <v>6150</v>
      </c>
      <c r="AB195" s="121" t="s">
        <v>191</v>
      </c>
      <c r="AC195" s="121" t="s">
        <v>192</v>
      </c>
      <c r="AD195" s="122">
        <f>IF(AB195="IVA Incluido",(AA195/1.19),AA195)</f>
        <v>5168.0672268907565</v>
      </c>
      <c r="AE195" s="123">
        <f>IF(AC195="Si tiene IVA",AD195*19%,0)</f>
        <v>981.93277310924373</v>
      </c>
      <c r="AF195" s="123">
        <f>AD195+AE195</f>
        <v>6150</v>
      </c>
      <c r="AG195" s="123">
        <f>IF(O195="","",(AA195*G195))</f>
        <v>6150</v>
      </c>
      <c r="AH195" s="123">
        <f>IF(O195="","",(AF195*G195))</f>
        <v>6150</v>
      </c>
      <c r="AI195" s="124" t="s">
        <v>187</v>
      </c>
      <c r="AJ195" s="125">
        <v>46091</v>
      </c>
      <c r="AK195" s="126" t="s">
        <v>266</v>
      </c>
      <c r="AL195" s="127" t="s">
        <v>189</v>
      </c>
      <c r="AM195" s="128" t="s">
        <v>785</v>
      </c>
      <c r="AN195" s="129">
        <v>8500</v>
      </c>
      <c r="AO195" s="129" t="s">
        <v>191</v>
      </c>
      <c r="AP195" s="130" t="s">
        <v>192</v>
      </c>
      <c r="AQ195" s="131">
        <f>IF(AO195="IVA Incluido",(AN195/1.19),AN195)</f>
        <v>7142.8571428571431</v>
      </c>
      <c r="AR195" s="132">
        <f>IF(AP195="Si tiene IVA",AQ195*19%,0)</f>
        <v>1357.1428571428571</v>
      </c>
      <c r="AS195" s="132">
        <f>AQ195+AR195</f>
        <v>8500</v>
      </c>
      <c r="AT195" s="132">
        <f>IF(AB195="","",(AN195*G195))</f>
        <v>8500</v>
      </c>
      <c r="AU195" s="132">
        <f>IF(AB195="","",(AS195*G195))</f>
        <v>8500</v>
      </c>
      <c r="AV195" s="133">
        <f t="shared" si="83"/>
        <v>7660</v>
      </c>
      <c r="AW195" s="133">
        <f t="shared" si="84"/>
        <v>7660</v>
      </c>
      <c r="AX195" s="133">
        <f t="shared" si="85"/>
        <v>1310</v>
      </c>
      <c r="AY195" s="134">
        <f>IF(N195="","",(AX195/AW195))</f>
        <v>0.17101827676240208</v>
      </c>
      <c r="AZ195" s="5"/>
      <c r="BA195" s="7">
        <f>COUNTA(M195,Z195,AM195)</f>
        <v>3</v>
      </c>
      <c r="BB195" s="7"/>
    </row>
    <row r="196" spans="1:54" ht="297">
      <c r="A196" s="105" t="s">
        <v>252</v>
      </c>
      <c r="B196" s="105" t="s">
        <v>252</v>
      </c>
      <c r="C196" s="105" t="s">
        <v>252</v>
      </c>
      <c r="D196" s="105" t="s">
        <v>910</v>
      </c>
      <c r="E196" s="106" t="s">
        <v>911</v>
      </c>
      <c r="F196" s="107" t="s">
        <v>255</v>
      </c>
      <c r="G196" s="108">
        <v>1</v>
      </c>
      <c r="H196" s="107"/>
      <c r="I196" s="109"/>
      <c r="J196" s="110"/>
      <c r="K196" s="111"/>
      <c r="L196" s="112"/>
      <c r="M196" s="110"/>
      <c r="N196" s="113"/>
      <c r="O196" s="113"/>
      <c r="P196" s="113"/>
      <c r="Q196" s="114" t="s">
        <v>256</v>
      </c>
      <c r="R196" s="115" t="s">
        <v>256</v>
      </c>
      <c r="S196" s="115" t="s">
        <v>256</v>
      </c>
      <c r="T196" s="115" t="s">
        <v>256</v>
      </c>
      <c r="U196" s="115" t="s">
        <v>256</v>
      </c>
      <c r="V196" s="116" t="s">
        <v>252</v>
      </c>
      <c r="W196" s="117" t="s">
        <v>252</v>
      </c>
      <c r="X196" s="118" t="s">
        <v>252</v>
      </c>
      <c r="Y196" s="119" t="s">
        <v>252</v>
      </c>
      <c r="Z196" s="120" t="s">
        <v>257</v>
      </c>
      <c r="AA196" s="121" t="s">
        <v>252</v>
      </c>
      <c r="AB196" s="121" t="s">
        <v>252</v>
      </c>
      <c r="AC196" s="121" t="s">
        <v>252</v>
      </c>
      <c r="AD196" s="122" t="s">
        <v>252</v>
      </c>
      <c r="AE196" s="123" t="s">
        <v>252</v>
      </c>
      <c r="AF196" s="123">
        <f>AH196/1.19</f>
        <v>393815.12605042016</v>
      </c>
      <c r="AG196" s="123">
        <f>AF196*19%</f>
        <v>74824.873949579836</v>
      </c>
      <c r="AH196" s="123">
        <v>468640</v>
      </c>
      <c r="AI196" s="124" t="s">
        <v>252</v>
      </c>
      <c r="AJ196" s="125" t="s">
        <v>252</v>
      </c>
      <c r="AK196" s="126" t="s">
        <v>252</v>
      </c>
      <c r="AL196" s="127" t="s">
        <v>252</v>
      </c>
      <c r="AM196" s="128" t="s">
        <v>258</v>
      </c>
      <c r="AN196" s="129" t="s">
        <v>252</v>
      </c>
      <c r="AO196" s="129" t="s">
        <v>252</v>
      </c>
      <c r="AP196" s="130" t="s">
        <v>252</v>
      </c>
      <c r="AQ196" s="131">
        <v>382399</v>
      </c>
      <c r="AR196" s="132">
        <v>72656</v>
      </c>
      <c r="AS196" s="132">
        <v>455055</v>
      </c>
      <c r="AT196" s="132">
        <v>382399</v>
      </c>
      <c r="AU196" s="132">
        <v>455055</v>
      </c>
      <c r="AV196" s="133">
        <f t="shared" ref="AV196:AV259" si="135">IF(A196="","",ROUND(AVERAGE(S196,AF196,AS196),0))</f>
        <v>424435</v>
      </c>
      <c r="AW196" s="133">
        <f t="shared" ref="AW196:AW259" si="136">IF(A196="","",AV196*G196)</f>
        <v>424435</v>
      </c>
      <c r="AX196" s="133" t="str">
        <f t="shared" ref="AX196:AX259" si="137">IF(N196="","",ROUND(STDEV(U196,AH196,AU196),0))</f>
        <v/>
      </c>
      <c r="AY196" s="134">
        <v>2.0799999999999999E-2</v>
      </c>
      <c r="AZ196" s="5"/>
      <c r="BA196" s="7"/>
      <c r="BB196" s="7"/>
    </row>
    <row r="197" spans="1:54" ht="297">
      <c r="A197" s="105" t="s">
        <v>252</v>
      </c>
      <c r="B197" s="105" t="s">
        <v>252</v>
      </c>
      <c r="C197" s="105" t="s">
        <v>252</v>
      </c>
      <c r="D197" s="105" t="s">
        <v>912</v>
      </c>
      <c r="E197" s="106" t="s">
        <v>913</v>
      </c>
      <c r="F197" s="107" t="s">
        <v>255</v>
      </c>
      <c r="G197" s="108">
        <v>1</v>
      </c>
      <c r="H197" s="107"/>
      <c r="I197" s="109"/>
      <c r="J197" s="110"/>
      <c r="K197" s="111"/>
      <c r="L197" s="112"/>
      <c r="M197" s="110"/>
      <c r="N197" s="113"/>
      <c r="O197" s="113"/>
      <c r="P197" s="113"/>
      <c r="Q197" s="114" t="s">
        <v>256</v>
      </c>
      <c r="R197" s="115" t="s">
        <v>256</v>
      </c>
      <c r="S197" s="115" t="s">
        <v>256</v>
      </c>
      <c r="T197" s="115" t="s">
        <v>256</v>
      </c>
      <c r="U197" s="115" t="s">
        <v>256</v>
      </c>
      <c r="V197" s="116" t="s">
        <v>252</v>
      </c>
      <c r="W197" s="117" t="s">
        <v>252</v>
      </c>
      <c r="X197" s="118" t="s">
        <v>252</v>
      </c>
      <c r="Y197" s="119" t="s">
        <v>252</v>
      </c>
      <c r="Z197" s="120" t="s">
        <v>257</v>
      </c>
      <c r="AA197" s="121" t="s">
        <v>252</v>
      </c>
      <c r="AB197" s="121" t="s">
        <v>252</v>
      </c>
      <c r="AC197" s="121" t="s">
        <v>252</v>
      </c>
      <c r="AD197" s="122" t="s">
        <v>252</v>
      </c>
      <c r="AE197" s="123" t="s">
        <v>252</v>
      </c>
      <c r="AF197" s="123">
        <f>AH197/1.19</f>
        <v>1143285.7142857143</v>
      </c>
      <c r="AG197" s="123">
        <f>AF197*19%</f>
        <v>217224.28571428571</v>
      </c>
      <c r="AH197" s="123">
        <v>1360510</v>
      </c>
      <c r="AI197" s="124" t="s">
        <v>252</v>
      </c>
      <c r="AJ197" s="125" t="s">
        <v>252</v>
      </c>
      <c r="AK197" s="126" t="s">
        <v>252</v>
      </c>
      <c r="AL197" s="127" t="s">
        <v>252</v>
      </c>
      <c r="AM197" s="128" t="s">
        <v>258</v>
      </c>
      <c r="AN197" s="129" t="s">
        <v>252</v>
      </c>
      <c r="AO197" s="129" t="s">
        <v>252</v>
      </c>
      <c r="AP197" s="130" t="s">
        <v>252</v>
      </c>
      <c r="AQ197" s="131">
        <v>1137221</v>
      </c>
      <c r="AR197" s="132">
        <v>216072</v>
      </c>
      <c r="AS197" s="132">
        <v>1353293</v>
      </c>
      <c r="AT197" s="132">
        <v>1137221</v>
      </c>
      <c r="AU197" s="132">
        <v>1353293</v>
      </c>
      <c r="AV197" s="133">
        <f t="shared" si="135"/>
        <v>1248289</v>
      </c>
      <c r="AW197" s="133">
        <f t="shared" si="136"/>
        <v>1248289</v>
      </c>
      <c r="AX197" s="133" t="str">
        <f t="shared" si="137"/>
        <v/>
      </c>
      <c r="AY197" s="134">
        <v>3.8E-3</v>
      </c>
      <c r="AZ197" s="5"/>
      <c r="BA197" s="7"/>
      <c r="BB197" s="7"/>
    </row>
    <row r="198" spans="1:54" ht="229.5">
      <c r="A198" s="105" t="s">
        <v>181</v>
      </c>
      <c r="B198" s="105" t="s">
        <v>241</v>
      </c>
      <c r="C198" s="105">
        <v>90101603</v>
      </c>
      <c r="D198" s="105" t="s">
        <v>914</v>
      </c>
      <c r="E198" s="106" t="s">
        <v>915</v>
      </c>
      <c r="F198" s="107" t="s">
        <v>185</v>
      </c>
      <c r="G198" s="108">
        <v>1</v>
      </c>
      <c r="H198" s="107" t="s">
        <v>186</v>
      </c>
      <c r="I198" s="109" t="s">
        <v>187</v>
      </c>
      <c r="J198" s="110">
        <v>46153</v>
      </c>
      <c r="K198" s="111" t="s">
        <v>916</v>
      </c>
      <c r="L198" s="112" t="s">
        <v>189</v>
      </c>
      <c r="M198" s="110" t="s">
        <v>917</v>
      </c>
      <c r="N198" s="113">
        <v>21600</v>
      </c>
      <c r="O198" s="113" t="s">
        <v>273</v>
      </c>
      <c r="P198" s="113" t="s">
        <v>274</v>
      </c>
      <c r="Q198" s="114">
        <f>IF(O198="IVA Incluido",(N198/1.19),IF(O198="Ipoconsumo Incluido",(N198/1.08),N198))</f>
        <v>21600</v>
      </c>
      <c r="R198" s="115">
        <f>IF(P198="Si tiene IVA",Q198*19%,IF(P198="Si tiene IPOCONSUMO",Q198*8%,0))</f>
        <v>1728</v>
      </c>
      <c r="S198" s="115">
        <f t="shared" ref="S198:S211" si="138">Q198+R198</f>
        <v>23328</v>
      </c>
      <c r="T198" s="115">
        <f>IF(R198="IVA Incluido",(Q198/1.19),IF(R198="Ipoconsumo Incluido",(Q198/1.08),Q198))</f>
        <v>21600</v>
      </c>
      <c r="U198" s="115">
        <f>Q198+R198</f>
        <v>23328</v>
      </c>
      <c r="V198" s="116" t="s">
        <v>187</v>
      </c>
      <c r="W198" s="117">
        <v>46077</v>
      </c>
      <c r="X198" s="118" t="s">
        <v>275</v>
      </c>
      <c r="Y198" s="119" t="s">
        <v>194</v>
      </c>
      <c r="Z198" s="120" t="s">
        <v>276</v>
      </c>
      <c r="AA198" s="121">
        <v>25000</v>
      </c>
      <c r="AB198" s="121" t="s">
        <v>273</v>
      </c>
      <c r="AC198" s="121" t="s">
        <v>274</v>
      </c>
      <c r="AD198" s="122">
        <f>IF(AB198="IVA Incluido",(AA198/1.19),IF(AB198="Ipoconsumo Incluido",(AA198/1.08),AA198))</f>
        <v>25000</v>
      </c>
      <c r="AE198" s="123">
        <f>IF(AC198="Si tiene IVA",AD198*19%,IF(AC198="Si tiene IPOCONSUMO",AD198*8%,0))</f>
        <v>2000</v>
      </c>
      <c r="AF198" s="123">
        <f t="shared" ref="AF198:AF211" si="139">AD198+AE198</f>
        <v>27000</v>
      </c>
      <c r="AG198" s="123">
        <f>IF(AE198="IVA Incluido",(AD198/1.19),IF(AE198="Ipoconsumo Incluido",(AD198/1.08),AD198))</f>
        <v>25000</v>
      </c>
      <c r="AH198" s="123">
        <f>AD198+AE198</f>
        <v>27000</v>
      </c>
      <c r="AI198" s="124" t="s">
        <v>187</v>
      </c>
      <c r="AJ198" s="125">
        <v>46094</v>
      </c>
      <c r="AK198" s="126" t="s">
        <v>277</v>
      </c>
      <c r="AL198" s="127" t="s">
        <v>194</v>
      </c>
      <c r="AM198" s="128" t="s">
        <v>278</v>
      </c>
      <c r="AN198" s="129">
        <v>26824</v>
      </c>
      <c r="AO198" s="129" t="s">
        <v>273</v>
      </c>
      <c r="AP198" s="130" t="s">
        <v>274</v>
      </c>
      <c r="AQ198" s="131">
        <f>IF(AO198="IVA Incluido",(AN198/1.19),IF(AO198="Ipoconsumo Incluido",(AN198/1.08),AN198))</f>
        <v>26824</v>
      </c>
      <c r="AR198" s="132">
        <f>IF(AP198="Si tiene IVA",AQ198*19%,IF(AP198="Si tiene IPOCONSUMO",AQ198*8%,0))</f>
        <v>2145.92</v>
      </c>
      <c r="AS198" s="132">
        <f t="shared" ref="AS198:AS203" si="140">AQ198+AR198</f>
        <v>28969.919999999998</v>
      </c>
      <c r="AT198" s="132">
        <f>IF(AR198="IVA Incluido",(AQ198/1.19),IF(AR198="Ipoconsumo Incluido",(AQ198/1.08),AQ198))</f>
        <v>26824</v>
      </c>
      <c r="AU198" s="132">
        <f>AQ198+AR198</f>
        <v>28969.919999999998</v>
      </c>
      <c r="AV198" s="133">
        <f t="shared" si="135"/>
        <v>26433</v>
      </c>
      <c r="AW198" s="133">
        <f t="shared" si="136"/>
        <v>26433</v>
      </c>
      <c r="AX198" s="133">
        <f t="shared" si="137"/>
        <v>2863</v>
      </c>
      <c r="AY198" s="134">
        <f t="shared" ref="AY198:AY211" si="141">IF(N198="","",(AX198/AW198))</f>
        <v>0.10831158022169259</v>
      </c>
      <c r="AZ198" s="5"/>
      <c r="BA198" s="7">
        <f t="shared" ref="BA198:BA211" si="142">COUNTA(M198,Z198,AM198)</f>
        <v>3</v>
      </c>
      <c r="BB198" s="7"/>
    </row>
    <row r="199" spans="1:54" ht="108">
      <c r="A199" s="105" t="s">
        <v>181</v>
      </c>
      <c r="B199" s="105" t="s">
        <v>241</v>
      </c>
      <c r="C199" s="105">
        <v>90101603</v>
      </c>
      <c r="D199" s="105" t="s">
        <v>918</v>
      </c>
      <c r="E199" s="106" t="s">
        <v>919</v>
      </c>
      <c r="F199" s="107" t="s">
        <v>185</v>
      </c>
      <c r="G199" s="108">
        <v>1</v>
      </c>
      <c r="H199" s="107" t="s">
        <v>186</v>
      </c>
      <c r="I199" s="109" t="s">
        <v>187</v>
      </c>
      <c r="J199" s="110">
        <v>46153</v>
      </c>
      <c r="K199" s="111" t="s">
        <v>277</v>
      </c>
      <c r="L199" s="112" t="s">
        <v>194</v>
      </c>
      <c r="M199" s="110" t="s">
        <v>278</v>
      </c>
      <c r="N199" s="113">
        <v>14500</v>
      </c>
      <c r="O199" s="113" t="s">
        <v>273</v>
      </c>
      <c r="P199" s="113" t="s">
        <v>274</v>
      </c>
      <c r="Q199" s="114">
        <f>IF(O199="IVA Incluido",(N199/1.19),IF(O199="Ipoconsumo Incluido",(N199/1.08),N199))</f>
        <v>14500</v>
      </c>
      <c r="R199" s="115">
        <f>IF(P199="Si tiene IVA",Q199*19%,IF(P199="Si tiene IPOCONSUMO",Q199*8%,0))</f>
        <v>1160</v>
      </c>
      <c r="S199" s="115">
        <f t="shared" si="138"/>
        <v>15660</v>
      </c>
      <c r="T199" s="115">
        <f>IF(R199="IVA Incluido",(Q199/1.19),IF(R199="Ipoconsumo Incluido",(Q199/1.08),Q199))</f>
        <v>14500</v>
      </c>
      <c r="U199" s="115">
        <f>Q199+R199</f>
        <v>15660</v>
      </c>
      <c r="V199" s="116" t="s">
        <v>187</v>
      </c>
      <c r="W199" s="117">
        <v>46153</v>
      </c>
      <c r="X199" s="118" t="s">
        <v>389</v>
      </c>
      <c r="Y199" s="119" t="s">
        <v>194</v>
      </c>
      <c r="Z199" s="120" t="s">
        <v>300</v>
      </c>
      <c r="AA199" s="121">
        <v>16300</v>
      </c>
      <c r="AB199" s="121" t="s">
        <v>273</v>
      </c>
      <c r="AC199" s="121" t="s">
        <v>274</v>
      </c>
      <c r="AD199" s="122">
        <f>IF(AB199="IVA Incluido",(AA199/1.19),IF(AB199="Ipoconsumo Incluido",(AA199/1.08),AA199))</f>
        <v>16300</v>
      </c>
      <c r="AE199" s="123">
        <f>IF(AC199="Si tiene IVA",AD199*19%,IF(AC199="Si tiene IPOCONSUMO",AD199*8%,0))</f>
        <v>1304</v>
      </c>
      <c r="AF199" s="123">
        <f t="shared" si="139"/>
        <v>17604</v>
      </c>
      <c r="AG199" s="123">
        <f>IF(AE199="IVA Incluido",(AD199/1.19),IF(AE199="Ipoconsumo Incluido",(AD199/1.08),AD199))</f>
        <v>16300</v>
      </c>
      <c r="AH199" s="123">
        <f>AD199+AE199</f>
        <v>17604</v>
      </c>
      <c r="AI199" s="124" t="s">
        <v>187</v>
      </c>
      <c r="AJ199" s="125">
        <v>46153</v>
      </c>
      <c r="AK199" s="126" t="s">
        <v>920</v>
      </c>
      <c r="AL199" s="127" t="s">
        <v>194</v>
      </c>
      <c r="AM199" s="128" t="s">
        <v>921</v>
      </c>
      <c r="AN199" s="129">
        <v>15000</v>
      </c>
      <c r="AO199" s="129" t="s">
        <v>273</v>
      </c>
      <c r="AP199" s="130" t="s">
        <v>274</v>
      </c>
      <c r="AQ199" s="131">
        <f>IF(AO199="IVA Incluido",(AN199/1.19),IF(AO199="Ipoconsumo Incluido",(AN199/1.08),AN199))</f>
        <v>15000</v>
      </c>
      <c r="AR199" s="132">
        <f>IF(AP199="Si tiene IVA",AQ199*19%,IF(AP199="Si tiene IPOCONSUMO",AQ199*8%,0))</f>
        <v>1200</v>
      </c>
      <c r="AS199" s="132">
        <f t="shared" si="140"/>
        <v>16200</v>
      </c>
      <c r="AT199" s="132">
        <f>IF(AR199="IVA Incluido",(AQ199/1.19),IF(AR199="Ipoconsumo Incluido",(AQ199/1.08),AQ199))</f>
        <v>15000</v>
      </c>
      <c r="AU199" s="132">
        <f>AQ199+AR199</f>
        <v>16200</v>
      </c>
      <c r="AV199" s="133">
        <f t="shared" si="135"/>
        <v>16488</v>
      </c>
      <c r="AW199" s="133">
        <f t="shared" si="136"/>
        <v>16488</v>
      </c>
      <c r="AX199" s="133">
        <f t="shared" si="137"/>
        <v>1003</v>
      </c>
      <c r="AY199" s="134">
        <f t="shared" si="141"/>
        <v>6.0832120329936921E-2</v>
      </c>
      <c r="AZ199" s="5"/>
      <c r="BA199" s="7">
        <f t="shared" si="142"/>
        <v>3</v>
      </c>
      <c r="BB199" s="7"/>
    </row>
    <row r="200" spans="1:54" ht="297">
      <c r="A200" s="105" t="s">
        <v>181</v>
      </c>
      <c r="B200" s="105" t="s">
        <v>241</v>
      </c>
      <c r="C200" s="105">
        <v>90101603</v>
      </c>
      <c r="D200" s="105" t="s">
        <v>922</v>
      </c>
      <c r="E200" s="106" t="s">
        <v>923</v>
      </c>
      <c r="F200" s="107" t="s">
        <v>185</v>
      </c>
      <c r="G200" s="108">
        <v>1</v>
      </c>
      <c r="H200" s="107" t="s">
        <v>186</v>
      </c>
      <c r="I200" s="109" t="s">
        <v>187</v>
      </c>
      <c r="J200" s="110">
        <v>46062</v>
      </c>
      <c r="K200" s="111" t="s">
        <v>271</v>
      </c>
      <c r="L200" s="112" t="s">
        <v>194</v>
      </c>
      <c r="M200" s="110" t="s">
        <v>272</v>
      </c>
      <c r="N200" s="113">
        <v>11700</v>
      </c>
      <c r="O200" s="113" t="s">
        <v>273</v>
      </c>
      <c r="P200" s="113" t="s">
        <v>274</v>
      </c>
      <c r="Q200" s="114">
        <f>IF(O200="IVA Incluido",(N200/1.19),IF(O200="Ipoconsumo Incluido",(N200/1.08),N200))</f>
        <v>11700</v>
      </c>
      <c r="R200" s="115">
        <f>IF(P200="Si tiene IVA",Q200*19%,IF(P200="Si tiene IPOCONSUMO",Q200*8%,0))</f>
        <v>936</v>
      </c>
      <c r="S200" s="115">
        <f t="shared" si="138"/>
        <v>12636</v>
      </c>
      <c r="T200" s="115">
        <f>IF(R200="IVA Incluido",(Q200/1.19),IF(R200="Ipoconsumo Incluido",(Q200/1.08),Q200))</f>
        <v>11700</v>
      </c>
      <c r="U200" s="115">
        <f>Q200+R200</f>
        <v>12636</v>
      </c>
      <c r="V200" s="116" t="s">
        <v>187</v>
      </c>
      <c r="W200" s="117">
        <v>46129</v>
      </c>
      <c r="X200" s="118" t="s">
        <v>924</v>
      </c>
      <c r="Y200" s="119" t="s">
        <v>189</v>
      </c>
      <c r="Z200" s="120" t="s">
        <v>925</v>
      </c>
      <c r="AA200" s="121">
        <v>8570</v>
      </c>
      <c r="AB200" s="121" t="s">
        <v>273</v>
      </c>
      <c r="AC200" s="121" t="s">
        <v>274</v>
      </c>
      <c r="AD200" s="122">
        <f>IF(AB200="IVA Incluido",(AA200/1.19),IF(AB200="Ipoconsumo Incluido",(AA200/1.08),AA200))</f>
        <v>8570</v>
      </c>
      <c r="AE200" s="123">
        <f>IF(AC200="Si tiene IVA",AD200*19%,IF(AC200="Si tiene IPOCONSUMO",AD200*8%,0))</f>
        <v>685.6</v>
      </c>
      <c r="AF200" s="123">
        <f t="shared" si="139"/>
        <v>9255.6</v>
      </c>
      <c r="AG200" s="123">
        <f>IF(AE200="IVA Incluido",(AD200/1.19),IF(AE200="Ipoconsumo Incluido",(AD200/1.08),AD200))</f>
        <v>8570</v>
      </c>
      <c r="AH200" s="123">
        <f>AD200+AE200</f>
        <v>9255.6</v>
      </c>
      <c r="AI200" s="124" t="s">
        <v>926</v>
      </c>
      <c r="AJ200" s="125" t="s">
        <v>252</v>
      </c>
      <c r="AK200" s="126"/>
      <c r="AL200" s="127"/>
      <c r="AM200" s="128" t="s">
        <v>257</v>
      </c>
      <c r="AN200" s="129">
        <v>13871</v>
      </c>
      <c r="AO200" s="129"/>
      <c r="AP200" s="130"/>
      <c r="AQ200" s="131">
        <f>AN200/1.08</f>
        <v>12843.518518518518</v>
      </c>
      <c r="AR200" s="132">
        <f>AQ200*8%</f>
        <v>1027.4814814814815</v>
      </c>
      <c r="AS200" s="132">
        <f t="shared" si="140"/>
        <v>13871</v>
      </c>
      <c r="AT200" s="132">
        <f>IF(AR200="IVA Incluido",(AQ200/1.19),IF(AR200="Ipoconsumo Incluido",(AQ200/1.08),AQ200))</f>
        <v>12843.518518518518</v>
      </c>
      <c r="AU200" s="132">
        <f>AQ200+AR200</f>
        <v>13871</v>
      </c>
      <c r="AV200" s="133">
        <f t="shared" si="135"/>
        <v>11921</v>
      </c>
      <c r="AW200" s="133">
        <f t="shared" si="136"/>
        <v>11921</v>
      </c>
      <c r="AX200" s="133">
        <f t="shared" si="137"/>
        <v>2389</v>
      </c>
      <c r="AY200" s="134">
        <f t="shared" si="141"/>
        <v>0.20040265078433017</v>
      </c>
      <c r="AZ200" s="5" t="s">
        <v>927</v>
      </c>
      <c r="BA200" s="7">
        <f t="shared" si="142"/>
        <v>3</v>
      </c>
      <c r="BB200" s="7"/>
    </row>
    <row r="201" spans="1:54" ht="67.5">
      <c r="A201" s="105" t="s">
        <v>181</v>
      </c>
      <c r="B201" s="105" t="s">
        <v>259</v>
      </c>
      <c r="C201" s="105">
        <v>14111514</v>
      </c>
      <c r="D201" s="105" t="s">
        <v>928</v>
      </c>
      <c r="E201" s="106" t="s">
        <v>929</v>
      </c>
      <c r="F201" s="107" t="s">
        <v>185</v>
      </c>
      <c r="G201" s="108">
        <v>1</v>
      </c>
      <c r="H201" s="107" t="s">
        <v>186</v>
      </c>
      <c r="I201" s="109" t="s">
        <v>187</v>
      </c>
      <c r="J201" s="110">
        <v>46091</v>
      </c>
      <c r="K201" s="111" t="s">
        <v>747</v>
      </c>
      <c r="L201" s="112" t="s">
        <v>194</v>
      </c>
      <c r="M201" s="110" t="s">
        <v>930</v>
      </c>
      <c r="N201" s="113">
        <v>15000</v>
      </c>
      <c r="O201" s="113" t="s">
        <v>191</v>
      </c>
      <c r="P201" s="113" t="s">
        <v>192</v>
      </c>
      <c r="Q201" s="114">
        <f t="shared" ref="Q201:Q211" si="143">IF(O201="IVA Incluido",(N201/1.19),N201)</f>
        <v>12605.042016806723</v>
      </c>
      <c r="R201" s="115">
        <f t="shared" ref="R201:R211" si="144">IF(P201="Si tiene IVA",Q201*19%,0)</f>
        <v>2394.9579831932774</v>
      </c>
      <c r="S201" s="115">
        <f t="shared" si="138"/>
        <v>15000</v>
      </c>
      <c r="T201" s="115">
        <f t="shared" ref="T201:T211" si="145">IF(B201="","",(N201*G201))</f>
        <v>15000</v>
      </c>
      <c r="U201" s="115">
        <f t="shared" ref="U201:U211" si="146">IF(B201="","",(S201*G201))</f>
        <v>15000</v>
      </c>
      <c r="V201" s="116" t="s">
        <v>187</v>
      </c>
      <c r="W201" s="117">
        <v>46091</v>
      </c>
      <c r="X201" s="118" t="s">
        <v>266</v>
      </c>
      <c r="Y201" s="119" t="s">
        <v>194</v>
      </c>
      <c r="Z201" s="120" t="s">
        <v>785</v>
      </c>
      <c r="AA201" s="121">
        <v>15000</v>
      </c>
      <c r="AB201" s="121" t="s">
        <v>191</v>
      </c>
      <c r="AC201" s="121" t="s">
        <v>192</v>
      </c>
      <c r="AD201" s="122">
        <f t="shared" ref="AD201:AD211" si="147">IF(AB201="IVA Incluido",(AA201/1.19),AA201)</f>
        <v>12605.042016806723</v>
      </c>
      <c r="AE201" s="123">
        <f t="shared" ref="AE201:AE211" si="148">IF(AC201="Si tiene IVA",AD201*19%,0)</f>
        <v>2394.9579831932774</v>
      </c>
      <c r="AF201" s="123">
        <f t="shared" si="139"/>
        <v>15000</v>
      </c>
      <c r="AG201" s="123">
        <f t="shared" ref="AG201:AG211" si="149">IF(O201="","",(AA201*G201))</f>
        <v>15000</v>
      </c>
      <c r="AH201" s="123">
        <f t="shared" ref="AH201:AH211" si="150">IF(O201="","",(AF201*G201))</f>
        <v>15000</v>
      </c>
      <c r="AI201" s="124" t="s">
        <v>187</v>
      </c>
      <c r="AJ201" s="125">
        <v>46091</v>
      </c>
      <c r="AK201" s="126" t="s">
        <v>608</v>
      </c>
      <c r="AL201" s="127" t="s">
        <v>194</v>
      </c>
      <c r="AM201" s="128" t="s">
        <v>609</v>
      </c>
      <c r="AN201" s="129">
        <v>15497</v>
      </c>
      <c r="AO201" s="129" t="s">
        <v>198</v>
      </c>
      <c r="AP201" s="130" t="s">
        <v>192</v>
      </c>
      <c r="AQ201" s="131">
        <f>IF(AO201="IVA Incluido",(AN201/1.19),AN201)</f>
        <v>15497</v>
      </c>
      <c r="AR201" s="132">
        <f>IF(AP201="Si tiene IVA",AQ201*19%,0)</f>
        <v>2944.43</v>
      </c>
      <c r="AS201" s="132">
        <f t="shared" si="140"/>
        <v>18441.43</v>
      </c>
      <c r="AT201" s="132">
        <f>IF(AB201="","",(AN201*G201))</f>
        <v>15497</v>
      </c>
      <c r="AU201" s="132">
        <f>IF(AB201="","",(AS201*G201))</f>
        <v>18441.43</v>
      </c>
      <c r="AV201" s="133">
        <f t="shared" si="135"/>
        <v>16147</v>
      </c>
      <c r="AW201" s="133">
        <f t="shared" si="136"/>
        <v>16147</v>
      </c>
      <c r="AX201" s="133">
        <f t="shared" si="137"/>
        <v>1987</v>
      </c>
      <c r="AY201" s="134">
        <f t="shared" si="141"/>
        <v>0.12305691459713879</v>
      </c>
      <c r="AZ201" s="5"/>
      <c r="BA201" s="7">
        <f t="shared" si="142"/>
        <v>3</v>
      </c>
      <c r="BB201" s="7"/>
    </row>
    <row r="202" spans="1:54" ht="67.5">
      <c r="A202" s="105" t="s">
        <v>181</v>
      </c>
      <c r="B202" s="105" t="s">
        <v>259</v>
      </c>
      <c r="C202" s="105">
        <v>14111514</v>
      </c>
      <c r="D202" s="105" t="s">
        <v>931</v>
      </c>
      <c r="E202" s="106" t="s">
        <v>932</v>
      </c>
      <c r="F202" s="107" t="s">
        <v>185</v>
      </c>
      <c r="G202" s="108">
        <v>1</v>
      </c>
      <c r="H202" s="107" t="s">
        <v>186</v>
      </c>
      <c r="I202" s="109" t="s">
        <v>187</v>
      </c>
      <c r="J202" s="110">
        <v>46091</v>
      </c>
      <c r="K202" s="111" t="s">
        <v>608</v>
      </c>
      <c r="L202" s="112" t="s">
        <v>194</v>
      </c>
      <c r="M202" s="110" t="s">
        <v>609</v>
      </c>
      <c r="N202" s="113">
        <v>18500</v>
      </c>
      <c r="O202" s="113" t="s">
        <v>198</v>
      </c>
      <c r="P202" s="113" t="s">
        <v>192</v>
      </c>
      <c r="Q202" s="114">
        <f t="shared" si="143"/>
        <v>18500</v>
      </c>
      <c r="R202" s="115">
        <f t="shared" si="144"/>
        <v>3515</v>
      </c>
      <c r="S202" s="115">
        <f t="shared" si="138"/>
        <v>22015</v>
      </c>
      <c r="T202" s="115">
        <f t="shared" si="145"/>
        <v>18500</v>
      </c>
      <c r="U202" s="115">
        <f t="shared" si="146"/>
        <v>22015</v>
      </c>
      <c r="V202" s="116" t="s">
        <v>187</v>
      </c>
      <c r="W202" s="117">
        <v>46091</v>
      </c>
      <c r="X202" s="118" t="s">
        <v>747</v>
      </c>
      <c r="Y202" s="119" t="s">
        <v>194</v>
      </c>
      <c r="Z202" s="120" t="s">
        <v>933</v>
      </c>
      <c r="AA202" s="121">
        <v>19000</v>
      </c>
      <c r="AB202" s="121" t="s">
        <v>191</v>
      </c>
      <c r="AC202" s="121" t="s">
        <v>192</v>
      </c>
      <c r="AD202" s="122">
        <f t="shared" si="147"/>
        <v>15966.386554621849</v>
      </c>
      <c r="AE202" s="123">
        <f t="shared" si="148"/>
        <v>3033.6134453781515</v>
      </c>
      <c r="AF202" s="123">
        <f t="shared" si="139"/>
        <v>19000</v>
      </c>
      <c r="AG202" s="123">
        <f t="shared" si="149"/>
        <v>19000</v>
      </c>
      <c r="AH202" s="123">
        <f t="shared" si="150"/>
        <v>19000</v>
      </c>
      <c r="AI202" s="124" t="s">
        <v>187</v>
      </c>
      <c r="AJ202" s="125">
        <v>46091</v>
      </c>
      <c r="AK202" s="126" t="s">
        <v>266</v>
      </c>
      <c r="AL202" s="127" t="s">
        <v>194</v>
      </c>
      <c r="AM202" s="128" t="s">
        <v>785</v>
      </c>
      <c r="AN202" s="129">
        <v>22000</v>
      </c>
      <c r="AO202" s="129" t="s">
        <v>191</v>
      </c>
      <c r="AP202" s="130" t="s">
        <v>192</v>
      </c>
      <c r="AQ202" s="131">
        <f>IF(AO202="IVA Incluido",(AN202/1.19),AN202)</f>
        <v>18487.394957983193</v>
      </c>
      <c r="AR202" s="132">
        <f>IF(AP202="Si tiene IVA",AQ202*19%,0)</f>
        <v>3512.6050420168067</v>
      </c>
      <c r="AS202" s="132">
        <f t="shared" si="140"/>
        <v>22000</v>
      </c>
      <c r="AT202" s="132">
        <f>IF(AB202="","",(AN202*G202))</f>
        <v>22000</v>
      </c>
      <c r="AU202" s="132">
        <f>IF(AB202="","",(AS202*G202))</f>
        <v>22000</v>
      </c>
      <c r="AV202" s="133">
        <f t="shared" si="135"/>
        <v>21005</v>
      </c>
      <c r="AW202" s="133">
        <f t="shared" si="136"/>
        <v>21005</v>
      </c>
      <c r="AX202" s="133">
        <f t="shared" si="137"/>
        <v>1736</v>
      </c>
      <c r="AY202" s="134">
        <f t="shared" si="141"/>
        <v>8.2646988812187572E-2</v>
      </c>
      <c r="AZ202" s="5"/>
      <c r="BA202" s="7">
        <f t="shared" si="142"/>
        <v>3</v>
      </c>
      <c r="BB202" s="7"/>
    </row>
    <row r="203" spans="1:54" ht="81">
      <c r="A203" s="105" t="s">
        <v>181</v>
      </c>
      <c r="B203" s="105" t="s">
        <v>259</v>
      </c>
      <c r="C203" s="105">
        <v>44121619</v>
      </c>
      <c r="D203" s="105" t="s">
        <v>934</v>
      </c>
      <c r="E203" s="106" t="s">
        <v>935</v>
      </c>
      <c r="F203" s="107" t="s">
        <v>185</v>
      </c>
      <c r="G203" s="108">
        <v>1</v>
      </c>
      <c r="H203" s="107" t="s">
        <v>186</v>
      </c>
      <c r="I203" s="109" t="s">
        <v>187</v>
      </c>
      <c r="J203" s="110">
        <v>46091</v>
      </c>
      <c r="K203" s="111" t="s">
        <v>608</v>
      </c>
      <c r="L203" s="112" t="s">
        <v>194</v>
      </c>
      <c r="M203" s="110" t="s">
        <v>609</v>
      </c>
      <c r="N203" s="113">
        <v>5461</v>
      </c>
      <c r="O203" s="113" t="s">
        <v>198</v>
      </c>
      <c r="P203" s="113" t="s">
        <v>192</v>
      </c>
      <c r="Q203" s="114">
        <f t="shared" si="143"/>
        <v>5461</v>
      </c>
      <c r="R203" s="115">
        <f t="shared" si="144"/>
        <v>1037.5899999999999</v>
      </c>
      <c r="S203" s="115">
        <f t="shared" si="138"/>
        <v>6498.59</v>
      </c>
      <c r="T203" s="115">
        <f t="shared" si="145"/>
        <v>5461</v>
      </c>
      <c r="U203" s="115">
        <f t="shared" si="146"/>
        <v>6498.59</v>
      </c>
      <c r="V203" s="116" t="s">
        <v>187</v>
      </c>
      <c r="W203" s="117">
        <v>46091</v>
      </c>
      <c r="X203" s="118" t="s">
        <v>747</v>
      </c>
      <c r="Y203" s="119" t="s">
        <v>194</v>
      </c>
      <c r="Z203" s="120" t="s">
        <v>933</v>
      </c>
      <c r="AA203" s="121">
        <v>6600</v>
      </c>
      <c r="AB203" s="121" t="s">
        <v>191</v>
      </c>
      <c r="AC203" s="121" t="s">
        <v>192</v>
      </c>
      <c r="AD203" s="122">
        <f t="shared" si="147"/>
        <v>5546.2184873949582</v>
      </c>
      <c r="AE203" s="123">
        <f t="shared" si="148"/>
        <v>1053.7815126050421</v>
      </c>
      <c r="AF203" s="123">
        <f t="shared" si="139"/>
        <v>6600</v>
      </c>
      <c r="AG203" s="123">
        <f t="shared" si="149"/>
        <v>6600</v>
      </c>
      <c r="AH203" s="123">
        <f t="shared" si="150"/>
        <v>6600</v>
      </c>
      <c r="AI203" s="124" t="s">
        <v>187</v>
      </c>
      <c r="AJ203" s="125">
        <v>46091</v>
      </c>
      <c r="AK203" s="126" t="s">
        <v>936</v>
      </c>
      <c r="AL203" s="127" t="s">
        <v>194</v>
      </c>
      <c r="AM203" s="128" t="s">
        <v>937</v>
      </c>
      <c r="AN203" s="129">
        <v>6684</v>
      </c>
      <c r="AO203" s="129" t="s">
        <v>191</v>
      </c>
      <c r="AP203" s="130" t="s">
        <v>192</v>
      </c>
      <c r="AQ203" s="131">
        <f>IF(AO203="IVA Incluido",(AN203/1.19),AN203)</f>
        <v>5616.8067226890762</v>
      </c>
      <c r="AR203" s="132">
        <f>IF(AP203="Si tiene IVA",AQ203*19%,0)</f>
        <v>1067.1932773109245</v>
      </c>
      <c r="AS203" s="132">
        <f t="shared" si="140"/>
        <v>6684.0000000000009</v>
      </c>
      <c r="AT203" s="132">
        <f>IF(AB203="","",(AN203*G203))</f>
        <v>6684</v>
      </c>
      <c r="AU203" s="132">
        <f>IF(AB203="","",(AS203*G203))</f>
        <v>6684.0000000000009</v>
      </c>
      <c r="AV203" s="133">
        <f t="shared" si="135"/>
        <v>6594</v>
      </c>
      <c r="AW203" s="133">
        <f t="shared" si="136"/>
        <v>6594</v>
      </c>
      <c r="AX203" s="133">
        <f t="shared" si="137"/>
        <v>93</v>
      </c>
      <c r="AY203" s="134">
        <f t="shared" si="141"/>
        <v>1.4103730664240218E-2</v>
      </c>
      <c r="AZ203" s="5"/>
      <c r="BA203" s="7">
        <f t="shared" si="142"/>
        <v>3</v>
      </c>
      <c r="BB203" s="7"/>
    </row>
    <row r="204" spans="1:54" ht="67.5">
      <c r="A204" s="105" t="s">
        <v>181</v>
      </c>
      <c r="B204" s="105" t="s">
        <v>453</v>
      </c>
      <c r="C204" s="105" t="s">
        <v>454</v>
      </c>
      <c r="D204" s="105" t="s">
        <v>938</v>
      </c>
      <c r="E204" s="106" t="s">
        <v>939</v>
      </c>
      <c r="F204" s="107" t="s">
        <v>185</v>
      </c>
      <c r="G204" s="108">
        <v>1</v>
      </c>
      <c r="H204" s="107" t="s">
        <v>288</v>
      </c>
      <c r="I204" s="109" t="s">
        <v>200</v>
      </c>
      <c r="J204" s="110">
        <v>46142</v>
      </c>
      <c r="K204" s="111" t="s">
        <v>940</v>
      </c>
      <c r="L204" s="112" t="s">
        <v>189</v>
      </c>
      <c r="M204" s="110" t="s">
        <v>941</v>
      </c>
      <c r="N204" s="113">
        <v>470589</v>
      </c>
      <c r="O204" s="113" t="s">
        <v>198</v>
      </c>
      <c r="P204" s="113" t="s">
        <v>192</v>
      </c>
      <c r="Q204" s="114">
        <f t="shared" si="143"/>
        <v>470589</v>
      </c>
      <c r="R204" s="115">
        <f t="shared" si="144"/>
        <v>89411.91</v>
      </c>
      <c r="S204" s="115">
        <f t="shared" si="138"/>
        <v>560000.91</v>
      </c>
      <c r="T204" s="115">
        <f t="shared" si="145"/>
        <v>470589</v>
      </c>
      <c r="U204" s="115">
        <f t="shared" si="146"/>
        <v>560000.91</v>
      </c>
      <c r="V204" s="116" t="s">
        <v>200</v>
      </c>
      <c r="W204" s="117">
        <v>46142</v>
      </c>
      <c r="X204" s="118" t="s">
        <v>942</v>
      </c>
      <c r="Y204" s="119" t="s">
        <v>189</v>
      </c>
      <c r="Z204" s="120" t="s">
        <v>942</v>
      </c>
      <c r="AA204" s="121">
        <v>361345</v>
      </c>
      <c r="AB204" s="121" t="s">
        <v>198</v>
      </c>
      <c r="AC204" s="121" t="s">
        <v>192</v>
      </c>
      <c r="AD204" s="122">
        <f t="shared" si="147"/>
        <v>361345</v>
      </c>
      <c r="AE204" s="123">
        <f t="shared" si="148"/>
        <v>68655.55</v>
      </c>
      <c r="AF204" s="123">
        <f t="shared" si="139"/>
        <v>430000.55</v>
      </c>
      <c r="AG204" s="123">
        <f t="shared" si="149"/>
        <v>361345</v>
      </c>
      <c r="AH204" s="123">
        <f t="shared" si="150"/>
        <v>430000.55</v>
      </c>
      <c r="AI204" s="124"/>
      <c r="AJ204" s="125"/>
      <c r="AK204" s="126"/>
      <c r="AL204" s="127"/>
      <c r="AM204" s="128"/>
      <c r="AN204" s="129"/>
      <c r="AO204" s="129"/>
      <c r="AP204" s="130"/>
      <c r="AQ204" s="131"/>
      <c r="AR204" s="132"/>
      <c r="AS204" s="132"/>
      <c r="AT204" s="132"/>
      <c r="AU204" s="132"/>
      <c r="AV204" s="133">
        <f t="shared" si="135"/>
        <v>495001</v>
      </c>
      <c r="AW204" s="133">
        <f t="shared" si="136"/>
        <v>495001</v>
      </c>
      <c r="AX204" s="133">
        <f t="shared" si="137"/>
        <v>91924</v>
      </c>
      <c r="AY204" s="134">
        <f t="shared" si="141"/>
        <v>0.18570467534409021</v>
      </c>
      <c r="AZ204" s="5"/>
      <c r="BA204" s="7">
        <f t="shared" si="142"/>
        <v>2</v>
      </c>
      <c r="BB204" s="7"/>
    </row>
    <row r="205" spans="1:54" ht="67.5">
      <c r="A205" s="105" t="s">
        <v>181</v>
      </c>
      <c r="B205" s="105" t="s">
        <v>453</v>
      </c>
      <c r="C205" s="105" t="s">
        <v>454</v>
      </c>
      <c r="D205" s="105" t="s">
        <v>943</v>
      </c>
      <c r="E205" s="106" t="s">
        <v>944</v>
      </c>
      <c r="F205" s="107" t="s">
        <v>185</v>
      </c>
      <c r="G205" s="108">
        <v>1</v>
      </c>
      <c r="H205" s="107" t="s">
        <v>288</v>
      </c>
      <c r="I205" s="109" t="s">
        <v>202</v>
      </c>
      <c r="J205" s="110">
        <v>46142</v>
      </c>
      <c r="K205" s="111" t="s">
        <v>940</v>
      </c>
      <c r="L205" s="112" t="s">
        <v>189</v>
      </c>
      <c r="M205" s="110" t="s">
        <v>941</v>
      </c>
      <c r="N205" s="113">
        <v>302522</v>
      </c>
      <c r="O205" s="113" t="s">
        <v>198</v>
      </c>
      <c r="P205" s="113" t="s">
        <v>192</v>
      </c>
      <c r="Q205" s="114">
        <f t="shared" si="143"/>
        <v>302522</v>
      </c>
      <c r="R205" s="115">
        <f t="shared" si="144"/>
        <v>57479.18</v>
      </c>
      <c r="S205" s="115">
        <f t="shared" si="138"/>
        <v>360001.18</v>
      </c>
      <c r="T205" s="115">
        <f t="shared" si="145"/>
        <v>302522</v>
      </c>
      <c r="U205" s="115">
        <f t="shared" si="146"/>
        <v>360001.18</v>
      </c>
      <c r="V205" s="116" t="s">
        <v>200</v>
      </c>
      <c r="W205" s="117">
        <v>46142</v>
      </c>
      <c r="X205" s="118" t="s">
        <v>942</v>
      </c>
      <c r="Y205" s="119" t="s">
        <v>194</v>
      </c>
      <c r="Z205" s="120" t="s">
        <v>942</v>
      </c>
      <c r="AA205" s="121">
        <v>252101</v>
      </c>
      <c r="AB205" s="121" t="s">
        <v>198</v>
      </c>
      <c r="AC205" s="121" t="s">
        <v>192</v>
      </c>
      <c r="AD205" s="122">
        <f t="shared" si="147"/>
        <v>252101</v>
      </c>
      <c r="AE205" s="123">
        <f t="shared" si="148"/>
        <v>47899.19</v>
      </c>
      <c r="AF205" s="123">
        <f t="shared" si="139"/>
        <v>300000.19</v>
      </c>
      <c r="AG205" s="123">
        <f t="shared" si="149"/>
        <v>252101</v>
      </c>
      <c r="AH205" s="123">
        <f t="shared" si="150"/>
        <v>300000.19</v>
      </c>
      <c r="AI205" s="124"/>
      <c r="AJ205" s="125"/>
      <c r="AK205" s="126"/>
      <c r="AL205" s="127"/>
      <c r="AM205" s="128"/>
      <c r="AN205" s="129"/>
      <c r="AO205" s="129"/>
      <c r="AP205" s="130"/>
      <c r="AQ205" s="131"/>
      <c r="AR205" s="132"/>
      <c r="AS205" s="132"/>
      <c r="AT205" s="132"/>
      <c r="AU205" s="132"/>
      <c r="AV205" s="133">
        <f t="shared" si="135"/>
        <v>330001</v>
      </c>
      <c r="AW205" s="133">
        <f t="shared" si="136"/>
        <v>330001</v>
      </c>
      <c r="AX205" s="133">
        <f t="shared" si="137"/>
        <v>42427</v>
      </c>
      <c r="AY205" s="134">
        <f t="shared" si="141"/>
        <v>0.12856627707188767</v>
      </c>
      <c r="AZ205" s="5"/>
      <c r="BA205" s="7">
        <f t="shared" si="142"/>
        <v>2</v>
      </c>
      <c r="BB205" s="7"/>
    </row>
    <row r="206" spans="1:54" ht="54">
      <c r="A206" s="105" t="s">
        <v>181</v>
      </c>
      <c r="B206" s="105" t="s">
        <v>453</v>
      </c>
      <c r="C206" s="105" t="s">
        <v>454</v>
      </c>
      <c r="D206" s="105" t="s">
        <v>945</v>
      </c>
      <c r="E206" s="106" t="s">
        <v>946</v>
      </c>
      <c r="F206" s="107" t="s">
        <v>185</v>
      </c>
      <c r="G206" s="108">
        <v>1</v>
      </c>
      <c r="H206" s="107" t="s">
        <v>288</v>
      </c>
      <c r="I206" s="109" t="s">
        <v>200</v>
      </c>
      <c r="J206" s="110">
        <v>46142</v>
      </c>
      <c r="K206" s="111" t="s">
        <v>947</v>
      </c>
      <c r="L206" s="112" t="s">
        <v>189</v>
      </c>
      <c r="M206" s="110" t="s">
        <v>942</v>
      </c>
      <c r="N206" s="113">
        <v>361345</v>
      </c>
      <c r="O206" s="113" t="s">
        <v>198</v>
      </c>
      <c r="P206" s="113" t="s">
        <v>192</v>
      </c>
      <c r="Q206" s="114">
        <f t="shared" si="143"/>
        <v>361345</v>
      </c>
      <c r="R206" s="115">
        <f t="shared" si="144"/>
        <v>68655.55</v>
      </c>
      <c r="S206" s="115">
        <f t="shared" si="138"/>
        <v>430000.55</v>
      </c>
      <c r="T206" s="115">
        <f t="shared" si="145"/>
        <v>361345</v>
      </c>
      <c r="U206" s="115">
        <f t="shared" si="146"/>
        <v>430000.55</v>
      </c>
      <c r="V206" s="116" t="s">
        <v>200</v>
      </c>
      <c r="W206" s="117">
        <v>46142</v>
      </c>
      <c r="X206" s="118" t="s">
        <v>940</v>
      </c>
      <c r="Y206" s="119" t="s">
        <v>189</v>
      </c>
      <c r="Z206" s="120" t="s">
        <v>941</v>
      </c>
      <c r="AA206" s="121">
        <v>470589</v>
      </c>
      <c r="AB206" s="121" t="s">
        <v>198</v>
      </c>
      <c r="AC206" s="121" t="s">
        <v>192</v>
      </c>
      <c r="AD206" s="122">
        <f t="shared" si="147"/>
        <v>470589</v>
      </c>
      <c r="AE206" s="123">
        <f t="shared" si="148"/>
        <v>89411.91</v>
      </c>
      <c r="AF206" s="123">
        <f t="shared" si="139"/>
        <v>560000.91</v>
      </c>
      <c r="AG206" s="123">
        <f t="shared" si="149"/>
        <v>470589</v>
      </c>
      <c r="AH206" s="123">
        <f t="shared" si="150"/>
        <v>560000.91</v>
      </c>
      <c r="AI206" s="124"/>
      <c r="AJ206" s="125"/>
      <c r="AK206" s="126"/>
      <c r="AL206" s="127"/>
      <c r="AM206" s="128"/>
      <c r="AN206" s="129"/>
      <c r="AO206" s="129"/>
      <c r="AP206" s="130"/>
      <c r="AQ206" s="131"/>
      <c r="AR206" s="132"/>
      <c r="AS206" s="132"/>
      <c r="AT206" s="132"/>
      <c r="AU206" s="132"/>
      <c r="AV206" s="133">
        <f t="shared" si="135"/>
        <v>495001</v>
      </c>
      <c r="AW206" s="133">
        <f t="shared" si="136"/>
        <v>495001</v>
      </c>
      <c r="AX206" s="133">
        <f t="shared" si="137"/>
        <v>91924</v>
      </c>
      <c r="AY206" s="134">
        <f t="shared" si="141"/>
        <v>0.18570467534409021</v>
      </c>
      <c r="AZ206" s="5"/>
      <c r="BA206" s="7">
        <f t="shared" si="142"/>
        <v>2</v>
      </c>
      <c r="BB206" s="7"/>
    </row>
    <row r="207" spans="1:54" ht="54">
      <c r="A207" s="105" t="s">
        <v>181</v>
      </c>
      <c r="B207" s="105" t="s">
        <v>453</v>
      </c>
      <c r="C207" s="105" t="s">
        <v>454</v>
      </c>
      <c r="D207" s="105" t="s">
        <v>948</v>
      </c>
      <c r="E207" s="106" t="s">
        <v>949</v>
      </c>
      <c r="F207" s="107" t="s">
        <v>185</v>
      </c>
      <c r="G207" s="108">
        <v>1</v>
      </c>
      <c r="H207" s="107" t="s">
        <v>288</v>
      </c>
      <c r="I207" s="109" t="s">
        <v>202</v>
      </c>
      <c r="J207" s="110">
        <v>46147</v>
      </c>
      <c r="K207" s="111" t="s">
        <v>940</v>
      </c>
      <c r="L207" s="112" t="s">
        <v>189</v>
      </c>
      <c r="M207" s="110" t="s">
        <v>941</v>
      </c>
      <c r="N207" s="113">
        <v>302522</v>
      </c>
      <c r="O207" s="113" t="s">
        <v>198</v>
      </c>
      <c r="P207" s="113" t="s">
        <v>192</v>
      </c>
      <c r="Q207" s="114">
        <f t="shared" si="143"/>
        <v>302522</v>
      </c>
      <c r="R207" s="115">
        <f t="shared" si="144"/>
        <v>57479.18</v>
      </c>
      <c r="S207" s="115">
        <f t="shared" si="138"/>
        <v>360001.18</v>
      </c>
      <c r="T207" s="115">
        <f t="shared" si="145"/>
        <v>302522</v>
      </c>
      <c r="U207" s="115">
        <f t="shared" si="146"/>
        <v>360001.18</v>
      </c>
      <c r="V207" s="116" t="s">
        <v>200</v>
      </c>
      <c r="W207" s="117">
        <v>46143</v>
      </c>
      <c r="X207" s="118" t="s">
        <v>942</v>
      </c>
      <c r="Y207" s="119" t="s">
        <v>189</v>
      </c>
      <c r="Z207" s="120" t="s">
        <v>942</v>
      </c>
      <c r="AA207" s="121">
        <v>252101</v>
      </c>
      <c r="AB207" s="121" t="s">
        <v>198</v>
      </c>
      <c r="AC207" s="121" t="s">
        <v>192</v>
      </c>
      <c r="AD207" s="122">
        <f t="shared" si="147"/>
        <v>252101</v>
      </c>
      <c r="AE207" s="123">
        <f t="shared" si="148"/>
        <v>47899.19</v>
      </c>
      <c r="AF207" s="123">
        <f t="shared" si="139"/>
        <v>300000.19</v>
      </c>
      <c r="AG207" s="123">
        <f t="shared" si="149"/>
        <v>252101</v>
      </c>
      <c r="AH207" s="123">
        <f t="shared" si="150"/>
        <v>300000.19</v>
      </c>
      <c r="AI207" s="124"/>
      <c r="AJ207" s="125"/>
      <c r="AK207" s="126"/>
      <c r="AL207" s="127"/>
      <c r="AM207" s="128"/>
      <c r="AN207" s="129"/>
      <c r="AO207" s="129"/>
      <c r="AP207" s="130"/>
      <c r="AQ207" s="131"/>
      <c r="AR207" s="132"/>
      <c r="AS207" s="132"/>
      <c r="AT207" s="132"/>
      <c r="AU207" s="132"/>
      <c r="AV207" s="133">
        <f t="shared" si="135"/>
        <v>330001</v>
      </c>
      <c r="AW207" s="133">
        <f t="shared" si="136"/>
        <v>330001</v>
      </c>
      <c r="AX207" s="133">
        <f t="shared" si="137"/>
        <v>42427</v>
      </c>
      <c r="AY207" s="134">
        <f t="shared" si="141"/>
        <v>0.12856627707188767</v>
      </c>
      <c r="AZ207" s="5"/>
      <c r="BA207" s="7">
        <f t="shared" si="142"/>
        <v>2</v>
      </c>
      <c r="BB207" s="7"/>
    </row>
    <row r="208" spans="1:54" ht="67.5">
      <c r="A208" s="105" t="s">
        <v>181</v>
      </c>
      <c r="B208" s="105" t="s">
        <v>453</v>
      </c>
      <c r="C208" s="105" t="s">
        <v>454</v>
      </c>
      <c r="D208" s="105" t="s">
        <v>950</v>
      </c>
      <c r="E208" s="106" t="s">
        <v>951</v>
      </c>
      <c r="F208" s="107" t="s">
        <v>185</v>
      </c>
      <c r="G208" s="108">
        <v>1</v>
      </c>
      <c r="H208" s="107" t="s">
        <v>288</v>
      </c>
      <c r="I208" s="109" t="s">
        <v>202</v>
      </c>
      <c r="J208" s="110">
        <v>46100</v>
      </c>
      <c r="K208" s="111" t="s">
        <v>940</v>
      </c>
      <c r="L208" s="112" t="s">
        <v>194</v>
      </c>
      <c r="M208" s="110" t="s">
        <v>941</v>
      </c>
      <c r="N208" s="113">
        <v>302522</v>
      </c>
      <c r="O208" s="113" t="s">
        <v>198</v>
      </c>
      <c r="P208" s="113" t="s">
        <v>192</v>
      </c>
      <c r="Q208" s="114">
        <f t="shared" si="143"/>
        <v>302522</v>
      </c>
      <c r="R208" s="115">
        <f t="shared" si="144"/>
        <v>57479.18</v>
      </c>
      <c r="S208" s="115">
        <f t="shared" si="138"/>
        <v>360001.18</v>
      </c>
      <c r="T208" s="115">
        <f t="shared" si="145"/>
        <v>302522</v>
      </c>
      <c r="U208" s="115">
        <f t="shared" si="146"/>
        <v>360001.18</v>
      </c>
      <c r="V208" s="116" t="s">
        <v>187</v>
      </c>
      <c r="W208" s="117">
        <v>46139</v>
      </c>
      <c r="X208" s="118" t="s">
        <v>942</v>
      </c>
      <c r="Y208" s="119" t="s">
        <v>189</v>
      </c>
      <c r="Z208" s="120" t="s">
        <v>942</v>
      </c>
      <c r="AA208" s="121">
        <v>252101</v>
      </c>
      <c r="AB208" s="121" t="s">
        <v>198</v>
      </c>
      <c r="AC208" s="121" t="s">
        <v>192</v>
      </c>
      <c r="AD208" s="122">
        <f t="shared" si="147"/>
        <v>252101</v>
      </c>
      <c r="AE208" s="123">
        <f t="shared" si="148"/>
        <v>47899.19</v>
      </c>
      <c r="AF208" s="123">
        <f t="shared" si="139"/>
        <v>300000.19</v>
      </c>
      <c r="AG208" s="123">
        <f t="shared" si="149"/>
        <v>252101</v>
      </c>
      <c r="AH208" s="123">
        <f t="shared" si="150"/>
        <v>300000.19</v>
      </c>
      <c r="AI208" s="124"/>
      <c r="AJ208" s="125"/>
      <c r="AK208" s="126"/>
      <c r="AL208" s="127"/>
      <c r="AM208" s="128"/>
      <c r="AN208" s="129"/>
      <c r="AO208" s="129"/>
      <c r="AP208" s="130"/>
      <c r="AQ208" s="131"/>
      <c r="AR208" s="132"/>
      <c r="AS208" s="132"/>
      <c r="AT208" s="132"/>
      <c r="AU208" s="132"/>
      <c r="AV208" s="133">
        <f t="shared" si="135"/>
        <v>330001</v>
      </c>
      <c r="AW208" s="133">
        <f t="shared" si="136"/>
        <v>330001</v>
      </c>
      <c r="AX208" s="133">
        <f t="shared" si="137"/>
        <v>42427</v>
      </c>
      <c r="AY208" s="134">
        <f t="shared" si="141"/>
        <v>0.12856627707188767</v>
      </c>
      <c r="AZ208" s="5"/>
      <c r="BA208" s="7">
        <f t="shared" si="142"/>
        <v>2</v>
      </c>
      <c r="BB208" s="7"/>
    </row>
    <row r="209" spans="1:54" ht="67.5">
      <c r="A209" s="105" t="s">
        <v>181</v>
      </c>
      <c r="B209" s="105" t="s">
        <v>453</v>
      </c>
      <c r="C209" s="105" t="s">
        <v>454</v>
      </c>
      <c r="D209" s="105" t="s">
        <v>952</v>
      </c>
      <c r="E209" s="106" t="s">
        <v>953</v>
      </c>
      <c r="F209" s="107" t="s">
        <v>185</v>
      </c>
      <c r="G209" s="108">
        <v>1</v>
      </c>
      <c r="H209" s="107" t="s">
        <v>288</v>
      </c>
      <c r="I209" s="109" t="s">
        <v>202</v>
      </c>
      <c r="J209" s="110">
        <v>46143</v>
      </c>
      <c r="K209" s="111" t="s">
        <v>940</v>
      </c>
      <c r="L209" s="112" t="s">
        <v>189</v>
      </c>
      <c r="M209" s="110" t="s">
        <v>941</v>
      </c>
      <c r="N209" s="113">
        <v>302522</v>
      </c>
      <c r="O209" s="113" t="s">
        <v>198</v>
      </c>
      <c r="P209" s="113" t="s">
        <v>192</v>
      </c>
      <c r="Q209" s="114">
        <f t="shared" si="143"/>
        <v>302522</v>
      </c>
      <c r="R209" s="115">
        <f t="shared" si="144"/>
        <v>57479.18</v>
      </c>
      <c r="S209" s="115">
        <f t="shared" si="138"/>
        <v>360001.18</v>
      </c>
      <c r="T209" s="115">
        <f t="shared" si="145"/>
        <v>302522</v>
      </c>
      <c r="U209" s="115">
        <f t="shared" si="146"/>
        <v>360001.18</v>
      </c>
      <c r="V209" s="116" t="s">
        <v>200</v>
      </c>
      <c r="W209" s="117">
        <v>46143</v>
      </c>
      <c r="X209" s="118" t="s">
        <v>942</v>
      </c>
      <c r="Y209" s="119" t="s">
        <v>189</v>
      </c>
      <c r="Z209" s="120" t="s">
        <v>942</v>
      </c>
      <c r="AA209" s="121">
        <v>361345</v>
      </c>
      <c r="AB209" s="121" t="s">
        <v>198</v>
      </c>
      <c r="AC209" s="121" t="s">
        <v>192</v>
      </c>
      <c r="AD209" s="122">
        <f t="shared" si="147"/>
        <v>361345</v>
      </c>
      <c r="AE209" s="123">
        <f t="shared" si="148"/>
        <v>68655.55</v>
      </c>
      <c r="AF209" s="123">
        <f t="shared" si="139"/>
        <v>430000.55</v>
      </c>
      <c r="AG209" s="123">
        <f t="shared" si="149"/>
        <v>361345</v>
      </c>
      <c r="AH209" s="123">
        <f t="shared" si="150"/>
        <v>430000.55</v>
      </c>
      <c r="AI209" s="124"/>
      <c r="AJ209" s="125"/>
      <c r="AK209" s="126"/>
      <c r="AL209" s="127"/>
      <c r="AM209" s="128"/>
      <c r="AN209" s="129"/>
      <c r="AO209" s="129"/>
      <c r="AP209" s="130"/>
      <c r="AQ209" s="131"/>
      <c r="AR209" s="132"/>
      <c r="AS209" s="132"/>
      <c r="AT209" s="132"/>
      <c r="AU209" s="132"/>
      <c r="AV209" s="133">
        <f t="shared" si="135"/>
        <v>395001</v>
      </c>
      <c r="AW209" s="133">
        <f t="shared" si="136"/>
        <v>395001</v>
      </c>
      <c r="AX209" s="133">
        <f t="shared" si="137"/>
        <v>49497</v>
      </c>
      <c r="AY209" s="134">
        <f t="shared" si="141"/>
        <v>0.12530854352267462</v>
      </c>
      <c r="AZ209" s="5"/>
      <c r="BA209" s="7">
        <f t="shared" si="142"/>
        <v>2</v>
      </c>
      <c r="BB209" s="7"/>
    </row>
    <row r="210" spans="1:54" ht="54">
      <c r="A210" s="105" t="s">
        <v>181</v>
      </c>
      <c r="B210" s="105" t="s">
        <v>453</v>
      </c>
      <c r="C210" s="105" t="s">
        <v>454</v>
      </c>
      <c r="D210" s="105" t="s">
        <v>954</v>
      </c>
      <c r="E210" s="106" t="s">
        <v>955</v>
      </c>
      <c r="F210" s="107" t="s">
        <v>185</v>
      </c>
      <c r="G210" s="108">
        <v>1</v>
      </c>
      <c r="H210" s="107" t="s">
        <v>288</v>
      </c>
      <c r="I210" s="109" t="s">
        <v>202</v>
      </c>
      <c r="J210" s="110">
        <v>46143</v>
      </c>
      <c r="K210" s="111" t="s">
        <v>942</v>
      </c>
      <c r="L210" s="112" t="s">
        <v>189</v>
      </c>
      <c r="M210" s="110" t="s">
        <v>942</v>
      </c>
      <c r="N210" s="113">
        <v>361345</v>
      </c>
      <c r="O210" s="113" t="s">
        <v>198</v>
      </c>
      <c r="P210" s="113" t="s">
        <v>192</v>
      </c>
      <c r="Q210" s="114">
        <f t="shared" si="143"/>
        <v>361345</v>
      </c>
      <c r="R210" s="115">
        <f t="shared" si="144"/>
        <v>68655.55</v>
      </c>
      <c r="S210" s="115">
        <f t="shared" si="138"/>
        <v>430000.55</v>
      </c>
      <c r="T210" s="115">
        <f t="shared" si="145"/>
        <v>361345</v>
      </c>
      <c r="U210" s="115">
        <f t="shared" si="146"/>
        <v>430000.55</v>
      </c>
      <c r="V210" s="116" t="s">
        <v>200</v>
      </c>
      <c r="W210" s="117">
        <v>46143</v>
      </c>
      <c r="X210" s="118" t="s">
        <v>940</v>
      </c>
      <c r="Y210" s="119" t="s">
        <v>189</v>
      </c>
      <c r="Z210" s="120" t="s">
        <v>941</v>
      </c>
      <c r="AA210" s="121">
        <v>302522</v>
      </c>
      <c r="AB210" s="121" t="s">
        <v>198</v>
      </c>
      <c r="AC210" s="121" t="s">
        <v>192</v>
      </c>
      <c r="AD210" s="122">
        <f t="shared" si="147"/>
        <v>302522</v>
      </c>
      <c r="AE210" s="123">
        <f t="shared" si="148"/>
        <v>57479.18</v>
      </c>
      <c r="AF210" s="123">
        <f t="shared" si="139"/>
        <v>360001.18</v>
      </c>
      <c r="AG210" s="123">
        <f t="shared" si="149"/>
        <v>302522</v>
      </c>
      <c r="AH210" s="123">
        <f t="shared" si="150"/>
        <v>360001.18</v>
      </c>
      <c r="AI210" s="124"/>
      <c r="AJ210" s="125"/>
      <c r="AK210" s="126"/>
      <c r="AL210" s="127"/>
      <c r="AM210" s="128"/>
      <c r="AN210" s="129"/>
      <c r="AO210" s="129"/>
      <c r="AP210" s="130"/>
      <c r="AQ210" s="131"/>
      <c r="AR210" s="132"/>
      <c r="AS210" s="132"/>
      <c r="AT210" s="132"/>
      <c r="AU210" s="132"/>
      <c r="AV210" s="133">
        <f t="shared" si="135"/>
        <v>395001</v>
      </c>
      <c r="AW210" s="133">
        <f t="shared" si="136"/>
        <v>395001</v>
      </c>
      <c r="AX210" s="133">
        <f t="shared" si="137"/>
        <v>49497</v>
      </c>
      <c r="AY210" s="134">
        <f t="shared" si="141"/>
        <v>0.12530854352267462</v>
      </c>
      <c r="AZ210" s="5"/>
      <c r="BA210" s="7">
        <f t="shared" si="142"/>
        <v>2</v>
      </c>
      <c r="BB210" s="7"/>
    </row>
    <row r="211" spans="1:54" ht="54">
      <c r="A211" s="105" t="s">
        <v>181</v>
      </c>
      <c r="B211" s="105" t="s">
        <v>453</v>
      </c>
      <c r="C211" s="105" t="s">
        <v>454</v>
      </c>
      <c r="D211" s="105" t="s">
        <v>956</v>
      </c>
      <c r="E211" s="106" t="s">
        <v>957</v>
      </c>
      <c r="F211" s="107" t="s">
        <v>185</v>
      </c>
      <c r="G211" s="108">
        <v>1</v>
      </c>
      <c r="H211" s="107" t="s">
        <v>288</v>
      </c>
      <c r="I211" s="109" t="s">
        <v>202</v>
      </c>
      <c r="J211" s="110">
        <v>46143</v>
      </c>
      <c r="K211" s="111" t="s">
        <v>942</v>
      </c>
      <c r="L211" s="112" t="s">
        <v>189</v>
      </c>
      <c r="M211" s="110" t="s">
        <v>942</v>
      </c>
      <c r="N211" s="113">
        <v>252101</v>
      </c>
      <c r="O211" s="113" t="s">
        <v>198</v>
      </c>
      <c r="P211" s="113" t="s">
        <v>192</v>
      </c>
      <c r="Q211" s="114">
        <f t="shared" si="143"/>
        <v>252101</v>
      </c>
      <c r="R211" s="115">
        <f t="shared" si="144"/>
        <v>47899.19</v>
      </c>
      <c r="S211" s="115">
        <f t="shared" si="138"/>
        <v>300000.19</v>
      </c>
      <c r="T211" s="115">
        <f t="shared" si="145"/>
        <v>252101</v>
      </c>
      <c r="U211" s="115">
        <f t="shared" si="146"/>
        <v>300000.19</v>
      </c>
      <c r="V211" s="116" t="s">
        <v>200</v>
      </c>
      <c r="W211" s="117">
        <v>46143</v>
      </c>
      <c r="X211" s="118" t="s">
        <v>940</v>
      </c>
      <c r="Y211" s="119" t="s">
        <v>189</v>
      </c>
      <c r="Z211" s="120" t="s">
        <v>941</v>
      </c>
      <c r="AA211" s="121">
        <v>302522</v>
      </c>
      <c r="AB211" s="121" t="s">
        <v>198</v>
      </c>
      <c r="AC211" s="121" t="s">
        <v>192</v>
      </c>
      <c r="AD211" s="122">
        <f t="shared" si="147"/>
        <v>302522</v>
      </c>
      <c r="AE211" s="123">
        <f t="shared" si="148"/>
        <v>57479.18</v>
      </c>
      <c r="AF211" s="123">
        <f t="shared" si="139"/>
        <v>360001.18</v>
      </c>
      <c r="AG211" s="123">
        <f t="shared" si="149"/>
        <v>302522</v>
      </c>
      <c r="AH211" s="123">
        <f t="shared" si="150"/>
        <v>360001.18</v>
      </c>
      <c r="AI211" s="124"/>
      <c r="AJ211" s="125"/>
      <c r="AK211" s="126"/>
      <c r="AL211" s="127"/>
      <c r="AM211" s="128"/>
      <c r="AN211" s="129"/>
      <c r="AO211" s="129"/>
      <c r="AP211" s="130"/>
      <c r="AQ211" s="131"/>
      <c r="AR211" s="132"/>
      <c r="AS211" s="132"/>
      <c r="AT211" s="132"/>
      <c r="AU211" s="132"/>
      <c r="AV211" s="133">
        <f t="shared" si="135"/>
        <v>330001</v>
      </c>
      <c r="AW211" s="133">
        <f t="shared" si="136"/>
        <v>330001</v>
      </c>
      <c r="AX211" s="133">
        <f t="shared" si="137"/>
        <v>42427</v>
      </c>
      <c r="AY211" s="134">
        <f t="shared" si="141"/>
        <v>0.12856627707188767</v>
      </c>
      <c r="AZ211" s="5"/>
      <c r="BA211" s="7">
        <f t="shared" si="142"/>
        <v>2</v>
      </c>
      <c r="BB211" s="7"/>
    </row>
    <row r="212" spans="1:54" ht="67.5">
      <c r="A212" s="105" t="s">
        <v>252</v>
      </c>
      <c r="B212" s="105" t="s">
        <v>252</v>
      </c>
      <c r="C212" s="105" t="s">
        <v>252</v>
      </c>
      <c r="D212" s="105" t="s">
        <v>958</v>
      </c>
      <c r="E212" s="106" t="s">
        <v>959</v>
      </c>
      <c r="F212" s="107" t="s">
        <v>270</v>
      </c>
      <c r="G212" s="108">
        <v>1</v>
      </c>
      <c r="H212" s="107"/>
      <c r="I212" s="109" t="s">
        <v>252</v>
      </c>
      <c r="J212" s="110" t="s">
        <v>252</v>
      </c>
      <c r="K212" s="111" t="s">
        <v>252</v>
      </c>
      <c r="L212" s="112" t="s">
        <v>252</v>
      </c>
      <c r="M212" s="110" t="s">
        <v>252</v>
      </c>
      <c r="N212" s="113"/>
      <c r="O212" s="113"/>
      <c r="P212" s="113"/>
      <c r="Q212" s="114">
        <v>840000</v>
      </c>
      <c r="R212" s="115">
        <v>159600</v>
      </c>
      <c r="S212" s="115">
        <v>999600</v>
      </c>
      <c r="T212" s="115">
        <v>840000</v>
      </c>
      <c r="U212" s="115">
        <v>999600</v>
      </c>
      <c r="V212" s="116" t="s">
        <v>252</v>
      </c>
      <c r="W212" s="117" t="s">
        <v>252</v>
      </c>
      <c r="X212" s="118" t="s">
        <v>252</v>
      </c>
      <c r="Y212" s="119" t="s">
        <v>252</v>
      </c>
      <c r="Z212" s="120" t="s">
        <v>256</v>
      </c>
      <c r="AA212" s="121" t="s">
        <v>252</v>
      </c>
      <c r="AB212" s="121" t="s">
        <v>252</v>
      </c>
      <c r="AC212" s="121" t="s">
        <v>252</v>
      </c>
      <c r="AD212" s="122" t="s">
        <v>252</v>
      </c>
      <c r="AE212" s="123" t="s">
        <v>252</v>
      </c>
      <c r="AF212" s="123" t="s">
        <v>256</v>
      </c>
      <c r="AG212" s="123" t="s">
        <v>256</v>
      </c>
      <c r="AH212" s="123" t="s">
        <v>256</v>
      </c>
      <c r="AI212" s="124" t="s">
        <v>252</v>
      </c>
      <c r="AJ212" s="125" t="s">
        <v>252</v>
      </c>
      <c r="AK212" s="126" t="s">
        <v>252</v>
      </c>
      <c r="AL212" s="127" t="s">
        <v>252</v>
      </c>
      <c r="AM212" s="128" t="s">
        <v>258</v>
      </c>
      <c r="AN212" s="129" t="s">
        <v>252</v>
      </c>
      <c r="AO212" s="129" t="s">
        <v>252</v>
      </c>
      <c r="AP212" s="130" t="s">
        <v>252</v>
      </c>
      <c r="AQ212" s="131">
        <v>588235</v>
      </c>
      <c r="AR212" s="132">
        <v>111765</v>
      </c>
      <c r="AS212" s="132">
        <v>700000</v>
      </c>
      <c r="AT212" s="132">
        <v>588235</v>
      </c>
      <c r="AU212" s="132">
        <v>700000</v>
      </c>
      <c r="AV212" s="133">
        <f t="shared" si="135"/>
        <v>849800</v>
      </c>
      <c r="AW212" s="133">
        <f t="shared" si="136"/>
        <v>849800</v>
      </c>
      <c r="AX212" s="133" t="str">
        <f t="shared" si="137"/>
        <v/>
      </c>
      <c r="AY212" s="134">
        <v>0.24929999999999999</v>
      </c>
      <c r="AZ212" s="5"/>
      <c r="BA212" s="7"/>
      <c r="BB212" s="7"/>
    </row>
    <row r="213" spans="1:54" ht="297">
      <c r="A213" s="105" t="s">
        <v>252</v>
      </c>
      <c r="B213" s="105" t="s">
        <v>252</v>
      </c>
      <c r="C213" s="105" t="s">
        <v>252</v>
      </c>
      <c r="D213" s="105" t="s">
        <v>960</v>
      </c>
      <c r="E213" s="106" t="s">
        <v>961</v>
      </c>
      <c r="F213" s="107" t="s">
        <v>255</v>
      </c>
      <c r="G213" s="108">
        <v>1</v>
      </c>
      <c r="H213" s="107"/>
      <c r="I213" s="109"/>
      <c r="J213" s="110"/>
      <c r="K213" s="111"/>
      <c r="L213" s="112"/>
      <c r="M213" s="110"/>
      <c r="N213" s="113"/>
      <c r="O213" s="113"/>
      <c r="P213" s="113"/>
      <c r="Q213" s="114" t="s">
        <v>256</v>
      </c>
      <c r="R213" s="115" t="s">
        <v>256</v>
      </c>
      <c r="S213" s="115" t="s">
        <v>256</v>
      </c>
      <c r="T213" s="115" t="s">
        <v>256</v>
      </c>
      <c r="U213" s="115" t="s">
        <v>256</v>
      </c>
      <c r="V213" s="116" t="s">
        <v>252</v>
      </c>
      <c r="W213" s="117" t="s">
        <v>252</v>
      </c>
      <c r="X213" s="118" t="s">
        <v>252</v>
      </c>
      <c r="Y213" s="119" t="s">
        <v>252</v>
      </c>
      <c r="Z213" s="120" t="s">
        <v>257</v>
      </c>
      <c r="AA213" s="121" t="s">
        <v>252</v>
      </c>
      <c r="AB213" s="121" t="s">
        <v>252</v>
      </c>
      <c r="AC213" s="121" t="s">
        <v>252</v>
      </c>
      <c r="AD213" s="122" t="s">
        <v>252</v>
      </c>
      <c r="AE213" s="123" t="s">
        <v>252</v>
      </c>
      <c r="AF213" s="123">
        <f>AH213/1.19</f>
        <v>885897.47899159673</v>
      </c>
      <c r="AG213" s="123">
        <f>AF213*19%</f>
        <v>168320.52100840339</v>
      </c>
      <c r="AH213" s="123">
        <v>1054218</v>
      </c>
      <c r="AI213" s="124" t="s">
        <v>252</v>
      </c>
      <c r="AJ213" s="125" t="s">
        <v>252</v>
      </c>
      <c r="AK213" s="126" t="s">
        <v>252</v>
      </c>
      <c r="AL213" s="127" t="s">
        <v>252</v>
      </c>
      <c r="AM213" s="128" t="s">
        <v>258</v>
      </c>
      <c r="AN213" s="129" t="s">
        <v>252</v>
      </c>
      <c r="AO213" s="129" t="s">
        <v>252</v>
      </c>
      <c r="AP213" s="130" t="s">
        <v>252</v>
      </c>
      <c r="AQ213" s="131">
        <v>856021</v>
      </c>
      <c r="AR213" s="132">
        <v>162644</v>
      </c>
      <c r="AS213" s="132">
        <v>1018665</v>
      </c>
      <c r="AT213" s="132">
        <v>856021</v>
      </c>
      <c r="AU213" s="132">
        <v>1018665</v>
      </c>
      <c r="AV213" s="133">
        <f t="shared" si="135"/>
        <v>952281</v>
      </c>
      <c r="AW213" s="133">
        <f t="shared" si="136"/>
        <v>952281</v>
      </c>
      <c r="AX213" s="133" t="str">
        <f t="shared" si="137"/>
        <v/>
      </c>
      <c r="AY213" s="134">
        <v>2.4299999999999999E-2</v>
      </c>
      <c r="AZ213" s="5"/>
      <c r="BA213" s="7"/>
      <c r="BB213" s="7"/>
    </row>
    <row r="214" spans="1:54" ht="405">
      <c r="A214" s="105" t="s">
        <v>252</v>
      </c>
      <c r="B214" s="105" t="s">
        <v>252</v>
      </c>
      <c r="C214" s="105" t="s">
        <v>252</v>
      </c>
      <c r="D214" s="105" t="s">
        <v>962</v>
      </c>
      <c r="E214" s="106" t="s">
        <v>963</v>
      </c>
      <c r="F214" s="107" t="s">
        <v>255</v>
      </c>
      <c r="G214" s="108">
        <v>1</v>
      </c>
      <c r="H214" s="107"/>
      <c r="I214" s="109"/>
      <c r="J214" s="110"/>
      <c r="K214" s="111"/>
      <c r="L214" s="112"/>
      <c r="M214" s="110"/>
      <c r="N214" s="113"/>
      <c r="O214" s="113"/>
      <c r="P214" s="113"/>
      <c r="Q214" s="114" t="s">
        <v>256</v>
      </c>
      <c r="R214" s="115" t="s">
        <v>256</v>
      </c>
      <c r="S214" s="115" t="s">
        <v>256</v>
      </c>
      <c r="T214" s="115" t="s">
        <v>256</v>
      </c>
      <c r="U214" s="115" t="s">
        <v>256</v>
      </c>
      <c r="V214" s="116" t="s">
        <v>252</v>
      </c>
      <c r="W214" s="117" t="s">
        <v>252</v>
      </c>
      <c r="X214" s="118" t="s">
        <v>252</v>
      </c>
      <c r="Y214" s="119" t="s">
        <v>252</v>
      </c>
      <c r="Z214" s="120" t="s">
        <v>257</v>
      </c>
      <c r="AA214" s="121" t="s">
        <v>252</v>
      </c>
      <c r="AB214" s="121" t="s">
        <v>252</v>
      </c>
      <c r="AC214" s="121" t="s">
        <v>252</v>
      </c>
      <c r="AD214" s="122" t="s">
        <v>252</v>
      </c>
      <c r="AE214" s="123" t="s">
        <v>252</v>
      </c>
      <c r="AF214" s="123">
        <f>AH214/1.19</f>
        <v>1456994.1176470588</v>
      </c>
      <c r="AG214" s="123">
        <f>AF214*19%</f>
        <v>276828.88235294115</v>
      </c>
      <c r="AH214" s="123">
        <v>1733823</v>
      </c>
      <c r="AI214" s="124" t="s">
        <v>252</v>
      </c>
      <c r="AJ214" s="125" t="s">
        <v>252</v>
      </c>
      <c r="AK214" s="126" t="s">
        <v>252</v>
      </c>
      <c r="AL214" s="127" t="s">
        <v>252</v>
      </c>
      <c r="AM214" s="128" t="s">
        <v>258</v>
      </c>
      <c r="AN214" s="129" t="s">
        <v>252</v>
      </c>
      <c r="AO214" s="129" t="s">
        <v>252</v>
      </c>
      <c r="AP214" s="130" t="s">
        <v>252</v>
      </c>
      <c r="AQ214" s="131">
        <v>1435462</v>
      </c>
      <c r="AR214" s="132">
        <v>272738</v>
      </c>
      <c r="AS214" s="132">
        <v>1708200</v>
      </c>
      <c r="AT214" s="132">
        <v>1435462</v>
      </c>
      <c r="AU214" s="132">
        <v>1708200</v>
      </c>
      <c r="AV214" s="133">
        <f t="shared" si="135"/>
        <v>1582597</v>
      </c>
      <c r="AW214" s="133">
        <f t="shared" si="136"/>
        <v>1582597</v>
      </c>
      <c r="AX214" s="133" t="str">
        <f t="shared" si="137"/>
        <v/>
      </c>
      <c r="AY214" s="134">
        <v>1.0500000000000001E-2</v>
      </c>
      <c r="AZ214" s="5"/>
      <c r="BA214" s="7"/>
      <c r="BB214" s="7"/>
    </row>
    <row r="215" spans="1:54" ht="409.5">
      <c r="A215" s="105" t="s">
        <v>252</v>
      </c>
      <c r="B215" s="105" t="s">
        <v>252</v>
      </c>
      <c r="C215" s="105" t="s">
        <v>252</v>
      </c>
      <c r="D215" s="105" t="s">
        <v>964</v>
      </c>
      <c r="E215" s="106" t="s">
        <v>965</v>
      </c>
      <c r="F215" s="107" t="s">
        <v>255</v>
      </c>
      <c r="G215" s="108">
        <v>1</v>
      </c>
      <c r="H215" s="107"/>
      <c r="I215" s="109"/>
      <c r="J215" s="110"/>
      <c r="K215" s="111"/>
      <c r="L215" s="112"/>
      <c r="M215" s="110"/>
      <c r="N215" s="113"/>
      <c r="O215" s="113"/>
      <c r="P215" s="113"/>
      <c r="Q215" s="114" t="s">
        <v>256</v>
      </c>
      <c r="R215" s="115" t="s">
        <v>256</v>
      </c>
      <c r="S215" s="115" t="s">
        <v>256</v>
      </c>
      <c r="T215" s="115" t="s">
        <v>256</v>
      </c>
      <c r="U215" s="115" t="s">
        <v>256</v>
      </c>
      <c r="V215" s="116" t="s">
        <v>252</v>
      </c>
      <c r="W215" s="117" t="s">
        <v>252</v>
      </c>
      <c r="X215" s="118" t="s">
        <v>252</v>
      </c>
      <c r="Y215" s="119" t="s">
        <v>252</v>
      </c>
      <c r="Z215" s="120" t="s">
        <v>257</v>
      </c>
      <c r="AA215" s="121" t="s">
        <v>252</v>
      </c>
      <c r="AB215" s="121" t="s">
        <v>252</v>
      </c>
      <c r="AC215" s="121" t="s">
        <v>252</v>
      </c>
      <c r="AD215" s="122" t="s">
        <v>252</v>
      </c>
      <c r="AE215" s="123" t="s">
        <v>252</v>
      </c>
      <c r="AF215" s="123">
        <f>AH215/1.19</f>
        <v>1113924.3697478992</v>
      </c>
      <c r="AG215" s="123">
        <f>AF215*19%</f>
        <v>211645.63025210085</v>
      </c>
      <c r="AH215" s="123">
        <v>1325570</v>
      </c>
      <c r="AI215" s="124" t="s">
        <v>252</v>
      </c>
      <c r="AJ215" s="125" t="s">
        <v>252</v>
      </c>
      <c r="AK215" s="126" t="s">
        <v>252</v>
      </c>
      <c r="AL215" s="127" t="s">
        <v>252</v>
      </c>
      <c r="AM215" s="128" t="s">
        <v>258</v>
      </c>
      <c r="AN215" s="129" t="s">
        <v>252</v>
      </c>
      <c r="AO215" s="129" t="s">
        <v>252</v>
      </c>
      <c r="AP215" s="130" t="s">
        <v>252</v>
      </c>
      <c r="AQ215" s="131">
        <v>1097462</v>
      </c>
      <c r="AR215" s="132">
        <v>208518</v>
      </c>
      <c r="AS215" s="132">
        <v>1305980</v>
      </c>
      <c r="AT215" s="132">
        <v>1097462</v>
      </c>
      <c r="AU215" s="132">
        <v>1305980</v>
      </c>
      <c r="AV215" s="133">
        <f t="shared" si="135"/>
        <v>1209952</v>
      </c>
      <c r="AW215" s="133">
        <f t="shared" si="136"/>
        <v>1209952</v>
      </c>
      <c r="AX215" s="133" t="str">
        <f t="shared" si="137"/>
        <v/>
      </c>
      <c r="AY215" s="134">
        <v>1.0500000000000001E-2</v>
      </c>
      <c r="AZ215" s="5"/>
      <c r="BA215" s="7"/>
      <c r="BB215" s="7"/>
    </row>
    <row r="216" spans="1:54" ht="409.5">
      <c r="A216" s="105" t="s">
        <v>252</v>
      </c>
      <c r="B216" s="105" t="s">
        <v>252</v>
      </c>
      <c r="C216" s="105" t="s">
        <v>252</v>
      </c>
      <c r="D216" s="105" t="s">
        <v>966</v>
      </c>
      <c r="E216" s="106" t="s">
        <v>967</v>
      </c>
      <c r="F216" s="107" t="s">
        <v>255</v>
      </c>
      <c r="G216" s="108">
        <v>1</v>
      </c>
      <c r="H216" s="107"/>
      <c r="I216" s="109"/>
      <c r="J216" s="110"/>
      <c r="K216" s="111"/>
      <c r="L216" s="112"/>
      <c r="M216" s="110"/>
      <c r="N216" s="113"/>
      <c r="O216" s="113"/>
      <c r="P216" s="113"/>
      <c r="Q216" s="114" t="s">
        <v>256</v>
      </c>
      <c r="R216" s="115" t="s">
        <v>256</v>
      </c>
      <c r="S216" s="115" t="s">
        <v>256</v>
      </c>
      <c r="T216" s="115" t="s">
        <v>256</v>
      </c>
      <c r="U216" s="115" t="s">
        <v>256</v>
      </c>
      <c r="V216" s="116" t="s">
        <v>252</v>
      </c>
      <c r="W216" s="117" t="s">
        <v>252</v>
      </c>
      <c r="X216" s="118" t="s">
        <v>252</v>
      </c>
      <c r="Y216" s="119" t="s">
        <v>252</v>
      </c>
      <c r="Z216" s="120" t="s">
        <v>257</v>
      </c>
      <c r="AA216" s="121" t="s">
        <v>252</v>
      </c>
      <c r="AB216" s="121" t="s">
        <v>252</v>
      </c>
      <c r="AC216" s="121" t="s">
        <v>252</v>
      </c>
      <c r="AD216" s="122" t="s">
        <v>252</v>
      </c>
      <c r="AE216" s="123" t="s">
        <v>252</v>
      </c>
      <c r="AF216" s="123">
        <f>AH216/1.19</f>
        <v>1175352.9411764706</v>
      </c>
      <c r="AG216" s="123">
        <f>AF216*19%</f>
        <v>223317.05882352943</v>
      </c>
      <c r="AH216" s="123">
        <v>1398670</v>
      </c>
      <c r="AI216" s="124" t="s">
        <v>252</v>
      </c>
      <c r="AJ216" s="125" t="s">
        <v>252</v>
      </c>
      <c r="AK216" s="126" t="s">
        <v>252</v>
      </c>
      <c r="AL216" s="127" t="s">
        <v>252</v>
      </c>
      <c r="AM216" s="128" t="s">
        <v>258</v>
      </c>
      <c r="AN216" s="129" t="s">
        <v>252</v>
      </c>
      <c r="AO216" s="129" t="s">
        <v>252</v>
      </c>
      <c r="AP216" s="130" t="s">
        <v>252</v>
      </c>
      <c r="AQ216" s="131">
        <v>1157983</v>
      </c>
      <c r="AR216" s="132">
        <v>220017</v>
      </c>
      <c r="AS216" s="132">
        <v>1378000</v>
      </c>
      <c r="AT216" s="132">
        <v>1157983</v>
      </c>
      <c r="AU216" s="132">
        <v>1378000</v>
      </c>
      <c r="AV216" s="133">
        <f t="shared" si="135"/>
        <v>1276676</v>
      </c>
      <c r="AW216" s="133">
        <f t="shared" si="136"/>
        <v>1276676</v>
      </c>
      <c r="AX216" s="133" t="str">
        <f t="shared" si="137"/>
        <v/>
      </c>
      <c r="AY216" s="134">
        <v>1.0500000000000001E-2</v>
      </c>
      <c r="AZ216" s="5"/>
      <c r="BA216" s="7"/>
      <c r="BB216" s="7"/>
    </row>
    <row r="217" spans="1:54" ht="409.5">
      <c r="A217" s="105" t="s">
        <v>181</v>
      </c>
      <c r="B217" s="105" t="s">
        <v>241</v>
      </c>
      <c r="C217" s="105">
        <v>78111803</v>
      </c>
      <c r="D217" s="105" t="s">
        <v>968</v>
      </c>
      <c r="E217" s="106" t="s">
        <v>969</v>
      </c>
      <c r="F217" s="107" t="s">
        <v>270</v>
      </c>
      <c r="G217" s="108">
        <v>1</v>
      </c>
      <c r="H217" s="107" t="s">
        <v>288</v>
      </c>
      <c r="I217" s="109" t="s">
        <v>187</v>
      </c>
      <c r="J217" s="110">
        <v>46085</v>
      </c>
      <c r="K217" s="111" t="s">
        <v>970</v>
      </c>
      <c r="L217" s="112" t="s">
        <v>194</v>
      </c>
      <c r="M217" s="110" t="s">
        <v>971</v>
      </c>
      <c r="N217" s="113">
        <v>468000</v>
      </c>
      <c r="O217" s="113" t="s">
        <v>198</v>
      </c>
      <c r="P217" s="113" t="s">
        <v>218</v>
      </c>
      <c r="Q217" s="114">
        <f t="shared" ref="Q217:Q230" si="151">IF(O217="IVA Incluido",(N217/1.19),N217)</f>
        <v>468000</v>
      </c>
      <c r="R217" s="115">
        <f t="shared" ref="R217:R230" si="152">IF(P217="Si tiene IVA",Q217*19%,0)</f>
        <v>0</v>
      </c>
      <c r="S217" s="115">
        <f t="shared" ref="S217:S230" si="153">Q217+R217</f>
        <v>468000</v>
      </c>
      <c r="T217" s="115">
        <f t="shared" ref="T217:T229" si="154">IF(B217="","",(N217*G217))</f>
        <v>468000</v>
      </c>
      <c r="U217" s="115">
        <f t="shared" ref="U217:U230" si="155">IF(B217="","",(S217*G217))</f>
        <v>468000</v>
      </c>
      <c r="V217" s="116" t="s">
        <v>381</v>
      </c>
      <c r="W217" s="117">
        <v>46140</v>
      </c>
      <c r="X217" s="118" t="s">
        <v>972</v>
      </c>
      <c r="Y217" s="119" t="s">
        <v>194</v>
      </c>
      <c r="Z217" s="120" t="s">
        <v>973</v>
      </c>
      <c r="AA217" s="121">
        <v>536000</v>
      </c>
      <c r="AB217" s="121" t="s">
        <v>198</v>
      </c>
      <c r="AC217" s="121" t="s">
        <v>218</v>
      </c>
      <c r="AD217" s="122">
        <f>IF(AB217="IVA Incluido",(AA217/1.19),IF(AB217="Ipoconsumo Incluido",(AA217/1.08),AA217))</f>
        <v>536000</v>
      </c>
      <c r="AE217" s="123">
        <f t="shared" ref="AE217:AE230" si="156">IF(AC217="Si tiene IVA",AD217*19%,0)</f>
        <v>0</v>
      </c>
      <c r="AF217" s="123">
        <f t="shared" ref="AF217:AF230" si="157">AD217+AE217</f>
        <v>536000</v>
      </c>
      <c r="AG217" s="123">
        <f t="shared" ref="AG217:AG222" si="158">IF(O217="","",(AA217*G217))</f>
        <v>536000</v>
      </c>
      <c r="AH217" s="123">
        <f t="shared" ref="AH217:AH222" si="159">IF(O217="","",(AF217*G217))</f>
        <v>536000</v>
      </c>
      <c r="AI217" s="124" t="s">
        <v>381</v>
      </c>
      <c r="AJ217" s="125">
        <v>46140</v>
      </c>
      <c r="AK217" s="126" t="s">
        <v>974</v>
      </c>
      <c r="AL217" s="127" t="s">
        <v>194</v>
      </c>
      <c r="AM217" s="128" t="s">
        <v>975</v>
      </c>
      <c r="AN217" s="129">
        <v>700000</v>
      </c>
      <c r="AO217" s="129" t="s">
        <v>198</v>
      </c>
      <c r="AP217" s="130" t="s">
        <v>218</v>
      </c>
      <c r="AQ217" s="131">
        <f>IF(AO217="IVA Incluido",(AN217/1.19),IF(AO217="Ipoconsumo Incluido",(AN217/1.08),AN217))</f>
        <v>700000</v>
      </c>
      <c r="AR217" s="132">
        <f>IF(AP217="Si tiene IVA",AQ217*19%,0)</f>
        <v>0</v>
      </c>
      <c r="AS217" s="132">
        <f>AQ217+AR217</f>
        <v>700000</v>
      </c>
      <c r="AT217" s="132">
        <f>IF(AB217="","",(AN217*G217))</f>
        <v>700000</v>
      </c>
      <c r="AU217" s="132">
        <f>IF(AB217="","",(AS217*G217))</f>
        <v>700000</v>
      </c>
      <c r="AV217" s="133">
        <f t="shared" si="135"/>
        <v>568000</v>
      </c>
      <c r="AW217" s="133">
        <f t="shared" si="136"/>
        <v>568000</v>
      </c>
      <c r="AX217" s="133">
        <f t="shared" si="137"/>
        <v>119264</v>
      </c>
      <c r="AY217" s="134">
        <f t="shared" ref="AY217:AY230" si="160">IF(N217="","",(AX217/AW217))</f>
        <v>0.20997183098591549</v>
      </c>
      <c r="AZ217" s="5"/>
      <c r="BA217" s="7">
        <f t="shared" ref="BA217:BA230" si="161">COUNTA(M217,Z217,AM217)</f>
        <v>3</v>
      </c>
      <c r="BB217" s="7" t="s">
        <v>301</v>
      </c>
    </row>
    <row r="218" spans="1:54" ht="409.5">
      <c r="A218" s="105" t="s">
        <v>181</v>
      </c>
      <c r="B218" s="105" t="s">
        <v>241</v>
      </c>
      <c r="C218" s="105">
        <v>78111803</v>
      </c>
      <c r="D218" s="105" t="s">
        <v>976</v>
      </c>
      <c r="E218" s="106" t="s">
        <v>969</v>
      </c>
      <c r="F218" s="107" t="s">
        <v>270</v>
      </c>
      <c r="G218" s="108">
        <v>1</v>
      </c>
      <c r="H218" s="107" t="s">
        <v>288</v>
      </c>
      <c r="I218" s="109" t="s">
        <v>187</v>
      </c>
      <c r="J218" s="110">
        <v>46085</v>
      </c>
      <c r="K218" s="111" t="s">
        <v>977</v>
      </c>
      <c r="L218" s="112" t="s">
        <v>189</v>
      </c>
      <c r="M218" s="110" t="s">
        <v>978</v>
      </c>
      <c r="N218" s="113">
        <v>385000</v>
      </c>
      <c r="O218" s="113" t="s">
        <v>198</v>
      </c>
      <c r="P218" s="113" t="s">
        <v>218</v>
      </c>
      <c r="Q218" s="114">
        <f t="shared" si="151"/>
        <v>385000</v>
      </c>
      <c r="R218" s="115">
        <f t="shared" si="152"/>
        <v>0</v>
      </c>
      <c r="S218" s="115">
        <f t="shared" si="153"/>
        <v>385000</v>
      </c>
      <c r="T218" s="115">
        <f t="shared" si="154"/>
        <v>385000</v>
      </c>
      <c r="U218" s="115">
        <f t="shared" si="155"/>
        <v>385000</v>
      </c>
      <c r="V218" s="116" t="s">
        <v>381</v>
      </c>
      <c r="W218" s="117">
        <v>46140</v>
      </c>
      <c r="X218" s="118" t="s">
        <v>974</v>
      </c>
      <c r="Y218" s="119" t="s">
        <v>194</v>
      </c>
      <c r="Z218" s="120" t="s">
        <v>975</v>
      </c>
      <c r="AA218" s="121">
        <v>350000</v>
      </c>
      <c r="AB218" s="121" t="s">
        <v>198</v>
      </c>
      <c r="AC218" s="121" t="s">
        <v>218</v>
      </c>
      <c r="AD218" s="122">
        <f>IF(AB218="IVA Incluido",(AA218/1.19),AA218)</f>
        <v>350000</v>
      </c>
      <c r="AE218" s="123">
        <f t="shared" si="156"/>
        <v>0</v>
      </c>
      <c r="AF218" s="123">
        <f t="shared" si="157"/>
        <v>350000</v>
      </c>
      <c r="AG218" s="123">
        <f t="shared" si="158"/>
        <v>350000</v>
      </c>
      <c r="AH218" s="123">
        <f t="shared" si="159"/>
        <v>350000</v>
      </c>
      <c r="AI218" s="124" t="s">
        <v>457</v>
      </c>
      <c r="AJ218" s="125">
        <v>46149</v>
      </c>
      <c r="AK218" s="126" t="s">
        <v>970</v>
      </c>
      <c r="AL218" s="127" t="s">
        <v>189</v>
      </c>
      <c r="AM218" s="128" t="s">
        <v>970</v>
      </c>
      <c r="AN218" s="129">
        <v>285000</v>
      </c>
      <c r="AO218" s="129" t="s">
        <v>198</v>
      </c>
      <c r="AP218" s="130" t="s">
        <v>218</v>
      </c>
      <c r="AQ218" s="131">
        <f>IF(AO218="IVA Incluido",(AN218/1.19),AN218)</f>
        <v>285000</v>
      </c>
      <c r="AR218" s="132">
        <f>IF(AP218="Si tiene IVA",AQ218*19%,0)</f>
        <v>0</v>
      </c>
      <c r="AS218" s="132">
        <f>AQ218+AR218</f>
        <v>285000</v>
      </c>
      <c r="AT218" s="132">
        <f>IF(AB218="","",(AN218*G218))</f>
        <v>285000</v>
      </c>
      <c r="AU218" s="132">
        <f>IF(AB218="","",(AS218*G218))</f>
        <v>285000</v>
      </c>
      <c r="AV218" s="133">
        <f t="shared" si="135"/>
        <v>340000</v>
      </c>
      <c r="AW218" s="133">
        <f t="shared" si="136"/>
        <v>340000</v>
      </c>
      <c r="AX218" s="133">
        <f t="shared" si="137"/>
        <v>50744</v>
      </c>
      <c r="AY218" s="134">
        <f t="shared" si="160"/>
        <v>0.1492470588235294</v>
      </c>
      <c r="AZ218" s="5"/>
      <c r="BA218" s="7">
        <f t="shared" si="161"/>
        <v>3</v>
      </c>
      <c r="BB218" s="7" t="s">
        <v>301</v>
      </c>
    </row>
    <row r="219" spans="1:54" ht="409.5">
      <c r="A219" s="105" t="s">
        <v>181</v>
      </c>
      <c r="B219" s="105" t="s">
        <v>241</v>
      </c>
      <c r="C219" s="105">
        <v>78111803</v>
      </c>
      <c r="D219" s="105" t="s">
        <v>979</v>
      </c>
      <c r="E219" s="106" t="s">
        <v>980</v>
      </c>
      <c r="F219" s="107" t="s">
        <v>270</v>
      </c>
      <c r="G219" s="108">
        <v>1</v>
      </c>
      <c r="H219" s="107" t="s">
        <v>288</v>
      </c>
      <c r="I219" s="109" t="s">
        <v>187</v>
      </c>
      <c r="J219" s="110">
        <v>46085</v>
      </c>
      <c r="K219" s="111" t="s">
        <v>970</v>
      </c>
      <c r="L219" s="112" t="s">
        <v>194</v>
      </c>
      <c r="M219" s="110" t="s">
        <v>971</v>
      </c>
      <c r="N219" s="113">
        <v>715000</v>
      </c>
      <c r="O219" s="113" t="s">
        <v>198</v>
      </c>
      <c r="P219" s="113" t="s">
        <v>218</v>
      </c>
      <c r="Q219" s="114">
        <f t="shared" si="151"/>
        <v>715000</v>
      </c>
      <c r="R219" s="115">
        <f t="shared" si="152"/>
        <v>0</v>
      </c>
      <c r="S219" s="115">
        <f t="shared" si="153"/>
        <v>715000</v>
      </c>
      <c r="T219" s="115">
        <f t="shared" si="154"/>
        <v>715000</v>
      </c>
      <c r="U219" s="115">
        <f t="shared" si="155"/>
        <v>715000</v>
      </c>
      <c r="V219" s="116" t="s">
        <v>187</v>
      </c>
      <c r="W219" s="117">
        <v>46085</v>
      </c>
      <c r="X219" s="118" t="s">
        <v>977</v>
      </c>
      <c r="Y219" s="119" t="s">
        <v>189</v>
      </c>
      <c r="Z219" s="120" t="s">
        <v>978</v>
      </c>
      <c r="AA219" s="121">
        <v>715000</v>
      </c>
      <c r="AB219" s="121" t="s">
        <v>198</v>
      </c>
      <c r="AC219" s="121" t="s">
        <v>218</v>
      </c>
      <c r="AD219" s="122">
        <f>IF(AB219="IVA Incluido",(AA219/1.19),AA219)</f>
        <v>715000</v>
      </c>
      <c r="AE219" s="123">
        <f t="shared" si="156"/>
        <v>0</v>
      </c>
      <c r="AF219" s="123">
        <f t="shared" si="157"/>
        <v>715000</v>
      </c>
      <c r="AG219" s="123">
        <f t="shared" si="158"/>
        <v>715000</v>
      </c>
      <c r="AH219" s="123">
        <f t="shared" si="159"/>
        <v>715000</v>
      </c>
      <c r="AI219" s="124"/>
      <c r="AJ219" s="125"/>
      <c r="AK219" s="126"/>
      <c r="AL219" s="127"/>
      <c r="AM219" s="128"/>
      <c r="AN219" s="129"/>
      <c r="AO219" s="129"/>
      <c r="AP219" s="130"/>
      <c r="AQ219" s="131"/>
      <c r="AR219" s="132"/>
      <c r="AS219" s="132"/>
      <c r="AT219" s="132"/>
      <c r="AU219" s="132"/>
      <c r="AV219" s="133">
        <f t="shared" si="135"/>
        <v>715000</v>
      </c>
      <c r="AW219" s="133">
        <f t="shared" si="136"/>
        <v>715000</v>
      </c>
      <c r="AX219" s="133">
        <f t="shared" si="137"/>
        <v>0</v>
      </c>
      <c r="AY219" s="134">
        <f t="shared" si="160"/>
        <v>0</v>
      </c>
      <c r="AZ219" s="5"/>
      <c r="BA219" s="7">
        <f t="shared" si="161"/>
        <v>2</v>
      </c>
      <c r="BB219" s="7" t="s">
        <v>558</v>
      </c>
    </row>
    <row r="220" spans="1:54" ht="409.5">
      <c r="A220" s="105" t="s">
        <v>181</v>
      </c>
      <c r="B220" s="105" t="s">
        <v>241</v>
      </c>
      <c r="C220" s="105">
        <v>78111803</v>
      </c>
      <c r="D220" s="105" t="s">
        <v>981</v>
      </c>
      <c r="E220" s="106" t="s">
        <v>980</v>
      </c>
      <c r="F220" s="107" t="s">
        <v>270</v>
      </c>
      <c r="G220" s="108">
        <v>1</v>
      </c>
      <c r="H220" s="107" t="s">
        <v>288</v>
      </c>
      <c r="I220" s="109" t="s">
        <v>187</v>
      </c>
      <c r="J220" s="110">
        <v>46085</v>
      </c>
      <c r="K220" s="111" t="s">
        <v>970</v>
      </c>
      <c r="L220" s="112" t="s">
        <v>194</v>
      </c>
      <c r="M220" s="110" t="s">
        <v>971</v>
      </c>
      <c r="N220" s="113">
        <v>390000</v>
      </c>
      <c r="O220" s="113" t="s">
        <v>198</v>
      </c>
      <c r="P220" s="113" t="s">
        <v>218</v>
      </c>
      <c r="Q220" s="114">
        <f t="shared" si="151"/>
        <v>390000</v>
      </c>
      <c r="R220" s="115">
        <f t="shared" si="152"/>
        <v>0</v>
      </c>
      <c r="S220" s="115">
        <f t="shared" si="153"/>
        <v>390000</v>
      </c>
      <c r="T220" s="115">
        <f t="shared" si="154"/>
        <v>390000</v>
      </c>
      <c r="U220" s="115">
        <f t="shared" si="155"/>
        <v>390000</v>
      </c>
      <c r="V220" s="116" t="s">
        <v>381</v>
      </c>
      <c r="W220" s="117">
        <v>46141</v>
      </c>
      <c r="X220" s="118" t="s">
        <v>974</v>
      </c>
      <c r="Y220" s="119" t="s">
        <v>194</v>
      </c>
      <c r="Z220" s="120" t="s">
        <v>975</v>
      </c>
      <c r="AA220" s="121">
        <v>510000</v>
      </c>
      <c r="AB220" s="121" t="s">
        <v>198</v>
      </c>
      <c r="AC220" s="121" t="s">
        <v>218</v>
      </c>
      <c r="AD220" s="122">
        <f>IF(AB220="IVA Incluido",(AA220/1.19),AA220)</f>
        <v>510000</v>
      </c>
      <c r="AE220" s="123">
        <f t="shared" si="156"/>
        <v>0</v>
      </c>
      <c r="AF220" s="123">
        <f t="shared" si="157"/>
        <v>510000</v>
      </c>
      <c r="AG220" s="123">
        <f t="shared" si="158"/>
        <v>510000</v>
      </c>
      <c r="AH220" s="123">
        <f t="shared" si="159"/>
        <v>510000</v>
      </c>
      <c r="AI220" s="124"/>
      <c r="AJ220" s="125"/>
      <c r="AK220" s="126"/>
      <c r="AL220" s="127"/>
      <c r="AM220" s="128"/>
      <c r="AN220" s="129"/>
      <c r="AO220" s="129"/>
      <c r="AP220" s="130"/>
      <c r="AQ220" s="131"/>
      <c r="AR220" s="132"/>
      <c r="AS220" s="132"/>
      <c r="AT220" s="132"/>
      <c r="AU220" s="132"/>
      <c r="AV220" s="133">
        <f t="shared" si="135"/>
        <v>450000</v>
      </c>
      <c r="AW220" s="133">
        <f t="shared" si="136"/>
        <v>450000</v>
      </c>
      <c r="AX220" s="133">
        <f t="shared" si="137"/>
        <v>84853</v>
      </c>
      <c r="AY220" s="134">
        <f t="shared" si="160"/>
        <v>0.18856222222222221</v>
      </c>
      <c r="AZ220" s="5" t="s">
        <v>982</v>
      </c>
      <c r="BA220" s="7">
        <f t="shared" si="161"/>
        <v>2</v>
      </c>
      <c r="BB220" s="7" t="s">
        <v>558</v>
      </c>
    </row>
    <row r="221" spans="1:54" ht="409.5">
      <c r="A221" s="105" t="s">
        <v>181</v>
      </c>
      <c r="B221" s="105" t="s">
        <v>241</v>
      </c>
      <c r="C221" s="105">
        <v>78111803</v>
      </c>
      <c r="D221" s="105" t="s">
        <v>983</v>
      </c>
      <c r="E221" s="106" t="s">
        <v>984</v>
      </c>
      <c r="F221" s="107" t="s">
        <v>270</v>
      </c>
      <c r="G221" s="108">
        <v>1</v>
      </c>
      <c r="H221" s="107" t="s">
        <v>288</v>
      </c>
      <c r="I221" s="109" t="s">
        <v>187</v>
      </c>
      <c r="J221" s="110">
        <v>46085</v>
      </c>
      <c r="K221" s="111" t="s">
        <v>970</v>
      </c>
      <c r="L221" s="112" t="s">
        <v>194</v>
      </c>
      <c r="M221" s="110" t="s">
        <v>971</v>
      </c>
      <c r="N221" s="113">
        <v>850000</v>
      </c>
      <c r="O221" s="113" t="s">
        <v>198</v>
      </c>
      <c r="P221" s="113" t="s">
        <v>218</v>
      </c>
      <c r="Q221" s="114">
        <f t="shared" si="151"/>
        <v>850000</v>
      </c>
      <c r="R221" s="115">
        <f t="shared" si="152"/>
        <v>0</v>
      </c>
      <c r="S221" s="115">
        <f t="shared" si="153"/>
        <v>850000</v>
      </c>
      <c r="T221" s="115">
        <f t="shared" si="154"/>
        <v>850000</v>
      </c>
      <c r="U221" s="115">
        <f t="shared" si="155"/>
        <v>850000</v>
      </c>
      <c r="V221" s="116" t="s">
        <v>187</v>
      </c>
      <c r="W221" s="117">
        <v>46085</v>
      </c>
      <c r="X221" s="118" t="s">
        <v>977</v>
      </c>
      <c r="Y221" s="119" t="s">
        <v>189</v>
      </c>
      <c r="Z221" s="120" t="s">
        <v>978</v>
      </c>
      <c r="AA221" s="121">
        <v>790000</v>
      </c>
      <c r="AB221" s="121" t="s">
        <v>198</v>
      </c>
      <c r="AC221" s="121" t="s">
        <v>218</v>
      </c>
      <c r="AD221" s="122">
        <f>IF(AB221="IVA Incluido",(AA221/1.19),AA221)</f>
        <v>790000</v>
      </c>
      <c r="AE221" s="123">
        <f t="shared" si="156"/>
        <v>0</v>
      </c>
      <c r="AF221" s="123">
        <f t="shared" si="157"/>
        <v>790000</v>
      </c>
      <c r="AG221" s="123">
        <f t="shared" si="158"/>
        <v>790000</v>
      </c>
      <c r="AH221" s="123">
        <f t="shared" si="159"/>
        <v>790000</v>
      </c>
      <c r="AI221" s="124"/>
      <c r="AJ221" s="125"/>
      <c r="AK221" s="126"/>
      <c r="AL221" s="127"/>
      <c r="AM221" s="128"/>
      <c r="AN221" s="129"/>
      <c r="AO221" s="129"/>
      <c r="AP221" s="130"/>
      <c r="AQ221" s="131"/>
      <c r="AR221" s="132"/>
      <c r="AS221" s="132"/>
      <c r="AT221" s="132"/>
      <c r="AU221" s="132"/>
      <c r="AV221" s="133">
        <f t="shared" si="135"/>
        <v>820000</v>
      </c>
      <c r="AW221" s="133">
        <f t="shared" si="136"/>
        <v>820000</v>
      </c>
      <c r="AX221" s="133">
        <f t="shared" si="137"/>
        <v>42426</v>
      </c>
      <c r="AY221" s="134">
        <f t="shared" si="160"/>
        <v>5.1739024390243901E-2</v>
      </c>
      <c r="AZ221" s="5"/>
      <c r="BA221" s="7">
        <f t="shared" si="161"/>
        <v>2</v>
      </c>
      <c r="BB221" s="7" t="s">
        <v>558</v>
      </c>
    </row>
    <row r="222" spans="1:54" ht="409.5">
      <c r="A222" s="105" t="s">
        <v>181</v>
      </c>
      <c r="B222" s="105" t="s">
        <v>241</v>
      </c>
      <c r="C222" s="105">
        <v>78111803</v>
      </c>
      <c r="D222" s="105" t="s">
        <v>985</v>
      </c>
      <c r="E222" s="106" t="s">
        <v>986</v>
      </c>
      <c r="F222" s="107" t="s">
        <v>270</v>
      </c>
      <c r="G222" s="108">
        <v>1</v>
      </c>
      <c r="H222" s="107" t="s">
        <v>288</v>
      </c>
      <c r="I222" s="109" t="s">
        <v>187</v>
      </c>
      <c r="J222" s="110">
        <v>46085</v>
      </c>
      <c r="K222" s="111" t="s">
        <v>977</v>
      </c>
      <c r="L222" s="112" t="s">
        <v>189</v>
      </c>
      <c r="M222" s="110" t="s">
        <v>978</v>
      </c>
      <c r="N222" s="113">
        <v>590000</v>
      </c>
      <c r="O222" s="113" t="s">
        <v>198</v>
      </c>
      <c r="P222" s="113" t="s">
        <v>218</v>
      </c>
      <c r="Q222" s="114">
        <f t="shared" si="151"/>
        <v>590000</v>
      </c>
      <c r="R222" s="115">
        <f t="shared" si="152"/>
        <v>0</v>
      </c>
      <c r="S222" s="115">
        <f t="shared" si="153"/>
        <v>590000</v>
      </c>
      <c r="T222" s="115">
        <f t="shared" si="154"/>
        <v>590000</v>
      </c>
      <c r="U222" s="115">
        <f t="shared" si="155"/>
        <v>590000</v>
      </c>
      <c r="V222" s="116" t="s">
        <v>381</v>
      </c>
      <c r="W222" s="117">
        <v>46140</v>
      </c>
      <c r="X222" s="118" t="s">
        <v>974</v>
      </c>
      <c r="Y222" s="119" t="s">
        <v>987</v>
      </c>
      <c r="Z222" s="120" t="s">
        <v>988</v>
      </c>
      <c r="AA222" s="121">
        <v>570000</v>
      </c>
      <c r="AB222" s="121" t="s">
        <v>198</v>
      </c>
      <c r="AC222" s="121" t="s">
        <v>218</v>
      </c>
      <c r="AD222" s="122">
        <f>IF(AB222="IVA Incluido",(AA222/1.19),AA222)</f>
        <v>570000</v>
      </c>
      <c r="AE222" s="123">
        <f t="shared" si="156"/>
        <v>0</v>
      </c>
      <c r="AF222" s="123">
        <f t="shared" si="157"/>
        <v>570000</v>
      </c>
      <c r="AG222" s="123">
        <f t="shared" si="158"/>
        <v>570000</v>
      </c>
      <c r="AH222" s="123">
        <f t="shared" si="159"/>
        <v>570000</v>
      </c>
      <c r="AI222" s="124" t="s">
        <v>457</v>
      </c>
      <c r="AJ222" s="125">
        <v>46149</v>
      </c>
      <c r="AK222" s="126" t="s">
        <v>970</v>
      </c>
      <c r="AL222" s="127" t="s">
        <v>189</v>
      </c>
      <c r="AM222" s="128" t="s">
        <v>970</v>
      </c>
      <c r="AN222" s="129">
        <v>466000</v>
      </c>
      <c r="AO222" s="129" t="s">
        <v>198</v>
      </c>
      <c r="AP222" s="130" t="s">
        <v>218</v>
      </c>
      <c r="AQ222" s="131">
        <f t="shared" ref="AQ222:AQ227" si="162">IF(AO222="IVA Incluido",(AN222/1.19),AN222)</f>
        <v>466000</v>
      </c>
      <c r="AR222" s="132">
        <f t="shared" ref="AR222:AR227" si="163">IF(AP222="Si tiene IVA",AQ222*19%,0)</f>
        <v>0</v>
      </c>
      <c r="AS222" s="132">
        <f t="shared" ref="AS222:AS227" si="164">AQ222+AR222</f>
        <v>466000</v>
      </c>
      <c r="AT222" s="132">
        <f t="shared" ref="AT222:AT227" si="165">IF(AB222="","",(AN222*G222))</f>
        <v>466000</v>
      </c>
      <c r="AU222" s="132">
        <f t="shared" ref="AU222:AU227" si="166">IF(AB222="","",(AS222*G222))</f>
        <v>466000</v>
      </c>
      <c r="AV222" s="133">
        <f t="shared" si="135"/>
        <v>542000</v>
      </c>
      <c r="AW222" s="133">
        <f t="shared" si="136"/>
        <v>542000</v>
      </c>
      <c r="AX222" s="133">
        <f t="shared" si="137"/>
        <v>66573</v>
      </c>
      <c r="AY222" s="134">
        <f t="shared" si="160"/>
        <v>0.12282841328413284</v>
      </c>
      <c r="AZ222" s="5"/>
      <c r="BA222" s="7">
        <f t="shared" si="161"/>
        <v>3</v>
      </c>
      <c r="BB222" s="7" t="s">
        <v>301</v>
      </c>
    </row>
    <row r="223" spans="1:54" ht="409.5">
      <c r="A223" s="105" t="s">
        <v>181</v>
      </c>
      <c r="B223" s="105" t="s">
        <v>241</v>
      </c>
      <c r="C223" s="105">
        <v>78111803</v>
      </c>
      <c r="D223" s="105" t="s">
        <v>989</v>
      </c>
      <c r="E223" s="106" t="s">
        <v>969</v>
      </c>
      <c r="F223" s="107" t="s">
        <v>185</v>
      </c>
      <c r="G223" s="108">
        <v>1</v>
      </c>
      <c r="H223" s="107" t="s">
        <v>186</v>
      </c>
      <c r="I223" s="109" t="s">
        <v>187</v>
      </c>
      <c r="J223" s="110">
        <v>46085</v>
      </c>
      <c r="K223" s="111" t="s">
        <v>970</v>
      </c>
      <c r="L223" s="112" t="s">
        <v>194</v>
      </c>
      <c r="M223" s="110" t="s">
        <v>971</v>
      </c>
      <c r="N223" s="113">
        <v>317000</v>
      </c>
      <c r="O223" s="113" t="s">
        <v>198</v>
      </c>
      <c r="P223" s="113" t="s">
        <v>218</v>
      </c>
      <c r="Q223" s="114">
        <f t="shared" si="151"/>
        <v>317000</v>
      </c>
      <c r="R223" s="115">
        <f t="shared" si="152"/>
        <v>0</v>
      </c>
      <c r="S223" s="115">
        <f t="shared" si="153"/>
        <v>317000</v>
      </c>
      <c r="T223" s="115">
        <f t="shared" si="154"/>
        <v>317000</v>
      </c>
      <c r="U223" s="115">
        <f t="shared" si="155"/>
        <v>317000</v>
      </c>
      <c r="V223" s="116" t="s">
        <v>381</v>
      </c>
      <c r="W223" s="117">
        <v>46140</v>
      </c>
      <c r="X223" s="118" t="s">
        <v>974</v>
      </c>
      <c r="Y223" s="119" t="s">
        <v>990</v>
      </c>
      <c r="Z223" s="120" t="s">
        <v>975</v>
      </c>
      <c r="AA223" s="121">
        <v>350000</v>
      </c>
      <c r="AB223" s="121" t="s">
        <v>198</v>
      </c>
      <c r="AC223" s="121" t="s">
        <v>218</v>
      </c>
      <c r="AD223" s="122">
        <f>IF(AB223="IVA Incluido",(AA223/1.19),IF(AB223="Ipoconsumo Incluido",(AA223/1.08),AA223))</f>
        <v>350000</v>
      </c>
      <c r="AE223" s="123">
        <f t="shared" si="156"/>
        <v>0</v>
      </c>
      <c r="AF223" s="123">
        <f t="shared" si="157"/>
        <v>350000</v>
      </c>
      <c r="AG223" s="123">
        <f>IF(AB223="","",(AA223*G223))</f>
        <v>350000</v>
      </c>
      <c r="AH223" s="123">
        <f>IF(AB223="","",(AF223*G223))</f>
        <v>350000</v>
      </c>
      <c r="AI223" s="124"/>
      <c r="AJ223" s="125"/>
      <c r="AK223" s="126"/>
      <c r="AL223" s="127"/>
      <c r="AM223" s="128"/>
      <c r="AN223" s="129"/>
      <c r="AO223" s="129"/>
      <c r="AP223" s="130"/>
      <c r="AQ223" s="131">
        <f t="shared" si="162"/>
        <v>0</v>
      </c>
      <c r="AR223" s="132">
        <f t="shared" si="163"/>
        <v>0</v>
      </c>
      <c r="AS223" s="132">
        <f t="shared" si="164"/>
        <v>0</v>
      </c>
      <c r="AT223" s="132">
        <f t="shared" si="165"/>
        <v>0</v>
      </c>
      <c r="AU223" s="132">
        <f t="shared" si="166"/>
        <v>0</v>
      </c>
      <c r="AV223" s="133">
        <f t="shared" si="135"/>
        <v>222333</v>
      </c>
      <c r="AW223" s="133">
        <f t="shared" si="136"/>
        <v>222333</v>
      </c>
      <c r="AX223" s="133">
        <f t="shared" si="137"/>
        <v>193252</v>
      </c>
      <c r="AY223" s="134">
        <f t="shared" si="160"/>
        <v>0.86920070344933054</v>
      </c>
      <c r="AZ223" s="5" t="s">
        <v>982</v>
      </c>
      <c r="BA223" s="7">
        <f t="shared" si="161"/>
        <v>2</v>
      </c>
      <c r="BB223" s="7" t="s">
        <v>301</v>
      </c>
    </row>
    <row r="224" spans="1:54" ht="409.5">
      <c r="A224" s="105" t="s">
        <v>181</v>
      </c>
      <c r="B224" s="105" t="s">
        <v>241</v>
      </c>
      <c r="C224" s="105">
        <v>78111803</v>
      </c>
      <c r="D224" s="105" t="s">
        <v>991</v>
      </c>
      <c r="E224" s="106" t="s">
        <v>969</v>
      </c>
      <c r="F224" s="107" t="s">
        <v>270</v>
      </c>
      <c r="G224" s="108">
        <v>1</v>
      </c>
      <c r="H224" s="107" t="s">
        <v>288</v>
      </c>
      <c r="I224" s="109" t="s">
        <v>381</v>
      </c>
      <c r="J224" s="110">
        <v>46140</v>
      </c>
      <c r="K224" s="111" t="s">
        <v>974</v>
      </c>
      <c r="L224" s="112" t="s">
        <v>194</v>
      </c>
      <c r="M224" s="110" t="s">
        <v>975</v>
      </c>
      <c r="N224" s="113">
        <v>175000</v>
      </c>
      <c r="O224" s="113" t="s">
        <v>198</v>
      </c>
      <c r="P224" s="113" t="s">
        <v>218</v>
      </c>
      <c r="Q224" s="114">
        <f t="shared" si="151"/>
        <v>175000</v>
      </c>
      <c r="R224" s="115">
        <f t="shared" si="152"/>
        <v>0</v>
      </c>
      <c r="S224" s="115">
        <f t="shared" si="153"/>
        <v>175000</v>
      </c>
      <c r="T224" s="115">
        <f t="shared" si="154"/>
        <v>175000</v>
      </c>
      <c r="U224" s="115">
        <f t="shared" si="155"/>
        <v>175000</v>
      </c>
      <c r="V224" s="116" t="s">
        <v>187</v>
      </c>
      <c r="W224" s="117">
        <v>46085</v>
      </c>
      <c r="X224" s="118" t="s">
        <v>970</v>
      </c>
      <c r="Y224" s="119" t="s">
        <v>194</v>
      </c>
      <c r="Z224" s="120" t="s">
        <v>971</v>
      </c>
      <c r="AA224" s="121">
        <v>165000</v>
      </c>
      <c r="AB224" s="121" t="s">
        <v>198</v>
      </c>
      <c r="AC224" s="121" t="s">
        <v>218</v>
      </c>
      <c r="AD224" s="122">
        <f t="shared" ref="AD224:AD230" si="167">IF(AB224="IVA Incluido",(AA224/1.19),AA224)</f>
        <v>165000</v>
      </c>
      <c r="AE224" s="123">
        <f t="shared" si="156"/>
        <v>0</v>
      </c>
      <c r="AF224" s="123">
        <f t="shared" si="157"/>
        <v>165000</v>
      </c>
      <c r="AG224" s="123">
        <f t="shared" ref="AG224:AG230" si="168">IF(O224="","",(AA224*G224))</f>
        <v>165000</v>
      </c>
      <c r="AH224" s="123">
        <f t="shared" ref="AH224:AH230" si="169">IF(O224="","",(AF224*G224))</f>
        <v>165000</v>
      </c>
      <c r="AI224" s="124"/>
      <c r="AJ224" s="125"/>
      <c r="AK224" s="126"/>
      <c r="AL224" s="127"/>
      <c r="AM224" s="128"/>
      <c r="AN224" s="129"/>
      <c r="AO224" s="129"/>
      <c r="AP224" s="130"/>
      <c r="AQ224" s="131">
        <f t="shared" si="162"/>
        <v>0</v>
      </c>
      <c r="AR224" s="132">
        <f t="shared" si="163"/>
        <v>0</v>
      </c>
      <c r="AS224" s="132">
        <f t="shared" si="164"/>
        <v>0</v>
      </c>
      <c r="AT224" s="132">
        <f t="shared" si="165"/>
        <v>0</v>
      </c>
      <c r="AU224" s="132">
        <f t="shared" si="166"/>
        <v>0</v>
      </c>
      <c r="AV224" s="133">
        <f t="shared" si="135"/>
        <v>113333</v>
      </c>
      <c r="AW224" s="133">
        <f t="shared" si="136"/>
        <v>113333</v>
      </c>
      <c r="AX224" s="133">
        <f t="shared" si="137"/>
        <v>98277</v>
      </c>
      <c r="AY224" s="134">
        <f t="shared" si="160"/>
        <v>0.86715255044867778</v>
      </c>
      <c r="AZ224" s="5" t="s">
        <v>982</v>
      </c>
      <c r="BA224" s="7">
        <f t="shared" si="161"/>
        <v>2</v>
      </c>
      <c r="BB224" s="7" t="s">
        <v>301</v>
      </c>
    </row>
    <row r="225" spans="1:54" ht="409.5">
      <c r="A225" s="105" t="s">
        <v>181</v>
      </c>
      <c r="B225" s="105" t="s">
        <v>241</v>
      </c>
      <c r="C225" s="105">
        <v>78111803</v>
      </c>
      <c r="D225" s="105" t="s">
        <v>992</v>
      </c>
      <c r="E225" s="106" t="s">
        <v>980</v>
      </c>
      <c r="F225" s="107" t="s">
        <v>270</v>
      </c>
      <c r="G225" s="108">
        <v>1</v>
      </c>
      <c r="H225" s="107" t="s">
        <v>288</v>
      </c>
      <c r="I225" s="109" t="s">
        <v>187</v>
      </c>
      <c r="J225" s="110">
        <v>46085</v>
      </c>
      <c r="K225" s="111" t="s">
        <v>970</v>
      </c>
      <c r="L225" s="112" t="s">
        <v>194</v>
      </c>
      <c r="M225" s="110" t="s">
        <v>971</v>
      </c>
      <c r="N225" s="113">
        <v>300000</v>
      </c>
      <c r="O225" s="113" t="s">
        <v>198</v>
      </c>
      <c r="P225" s="113" t="s">
        <v>218</v>
      </c>
      <c r="Q225" s="114">
        <f t="shared" si="151"/>
        <v>300000</v>
      </c>
      <c r="R225" s="115">
        <f t="shared" si="152"/>
        <v>0</v>
      </c>
      <c r="S225" s="115">
        <f t="shared" si="153"/>
        <v>300000</v>
      </c>
      <c r="T225" s="115">
        <f t="shared" si="154"/>
        <v>300000</v>
      </c>
      <c r="U225" s="115">
        <f t="shared" si="155"/>
        <v>300000</v>
      </c>
      <c r="V225" s="116" t="s">
        <v>187</v>
      </c>
      <c r="W225" s="117">
        <v>46085</v>
      </c>
      <c r="X225" s="118" t="s">
        <v>977</v>
      </c>
      <c r="Y225" s="119" t="s">
        <v>189</v>
      </c>
      <c r="Z225" s="120" t="s">
        <v>978</v>
      </c>
      <c r="AA225" s="121">
        <v>400000</v>
      </c>
      <c r="AB225" s="121" t="s">
        <v>198</v>
      </c>
      <c r="AC225" s="121" t="s">
        <v>218</v>
      </c>
      <c r="AD225" s="122">
        <f t="shared" si="167"/>
        <v>400000</v>
      </c>
      <c r="AE225" s="123">
        <f t="shared" si="156"/>
        <v>0</v>
      </c>
      <c r="AF225" s="123">
        <f t="shared" si="157"/>
        <v>400000</v>
      </c>
      <c r="AG225" s="123">
        <f t="shared" si="168"/>
        <v>400000</v>
      </c>
      <c r="AH225" s="123">
        <f t="shared" si="169"/>
        <v>400000</v>
      </c>
      <c r="AI225" s="124" t="s">
        <v>381</v>
      </c>
      <c r="AJ225" s="125">
        <v>46141</v>
      </c>
      <c r="AK225" s="126" t="s">
        <v>974</v>
      </c>
      <c r="AL225" s="127" t="s">
        <v>194</v>
      </c>
      <c r="AM225" s="128" t="s">
        <v>975</v>
      </c>
      <c r="AN225" s="129">
        <v>250000</v>
      </c>
      <c r="AO225" s="129" t="s">
        <v>198</v>
      </c>
      <c r="AP225" s="130" t="s">
        <v>218</v>
      </c>
      <c r="AQ225" s="131">
        <f t="shared" si="162"/>
        <v>250000</v>
      </c>
      <c r="AR225" s="132">
        <f t="shared" si="163"/>
        <v>0</v>
      </c>
      <c r="AS225" s="132">
        <f t="shared" si="164"/>
        <v>250000</v>
      </c>
      <c r="AT225" s="132">
        <f t="shared" si="165"/>
        <v>250000</v>
      </c>
      <c r="AU225" s="132">
        <f t="shared" si="166"/>
        <v>250000</v>
      </c>
      <c r="AV225" s="133">
        <f t="shared" si="135"/>
        <v>316667</v>
      </c>
      <c r="AW225" s="133">
        <f t="shared" si="136"/>
        <v>316667</v>
      </c>
      <c r="AX225" s="133">
        <f t="shared" si="137"/>
        <v>76376</v>
      </c>
      <c r="AY225" s="134">
        <f t="shared" si="160"/>
        <v>0.24118711453987943</v>
      </c>
      <c r="AZ225" s="5"/>
      <c r="BA225" s="7">
        <f t="shared" si="161"/>
        <v>3</v>
      </c>
      <c r="BB225" s="7" t="s">
        <v>301</v>
      </c>
    </row>
    <row r="226" spans="1:54" ht="409.5">
      <c r="A226" s="105" t="s">
        <v>181</v>
      </c>
      <c r="B226" s="105" t="s">
        <v>241</v>
      </c>
      <c r="C226" s="105">
        <v>78111803</v>
      </c>
      <c r="D226" s="105" t="s">
        <v>993</v>
      </c>
      <c r="E226" s="106" t="s">
        <v>980</v>
      </c>
      <c r="F226" s="107" t="s">
        <v>270</v>
      </c>
      <c r="G226" s="108">
        <v>1</v>
      </c>
      <c r="H226" s="107" t="s">
        <v>288</v>
      </c>
      <c r="I226" s="109" t="s">
        <v>187</v>
      </c>
      <c r="J226" s="110">
        <v>46085</v>
      </c>
      <c r="K226" s="111" t="s">
        <v>977</v>
      </c>
      <c r="L226" s="112" t="s">
        <v>189</v>
      </c>
      <c r="M226" s="110" t="s">
        <v>978</v>
      </c>
      <c r="N226" s="113">
        <v>585000</v>
      </c>
      <c r="O226" s="113" t="s">
        <v>198</v>
      </c>
      <c r="P226" s="113" t="s">
        <v>218</v>
      </c>
      <c r="Q226" s="114">
        <f t="shared" si="151"/>
        <v>585000</v>
      </c>
      <c r="R226" s="115">
        <f t="shared" si="152"/>
        <v>0</v>
      </c>
      <c r="S226" s="115">
        <f t="shared" si="153"/>
        <v>585000</v>
      </c>
      <c r="T226" s="115">
        <f t="shared" si="154"/>
        <v>585000</v>
      </c>
      <c r="U226" s="115">
        <f t="shared" si="155"/>
        <v>585000</v>
      </c>
      <c r="V226" s="116" t="s">
        <v>381</v>
      </c>
      <c r="W226" s="117">
        <v>46140</v>
      </c>
      <c r="X226" s="118" t="s">
        <v>974</v>
      </c>
      <c r="Y226" s="119" t="s">
        <v>194</v>
      </c>
      <c r="Z226" s="120" t="s">
        <v>988</v>
      </c>
      <c r="AA226" s="121">
        <v>500000</v>
      </c>
      <c r="AB226" s="121" t="s">
        <v>198</v>
      </c>
      <c r="AC226" s="121" t="s">
        <v>218</v>
      </c>
      <c r="AD226" s="122">
        <f t="shared" si="167"/>
        <v>500000</v>
      </c>
      <c r="AE226" s="123">
        <f t="shared" si="156"/>
        <v>0</v>
      </c>
      <c r="AF226" s="123">
        <f t="shared" si="157"/>
        <v>500000</v>
      </c>
      <c r="AG226" s="123">
        <f t="shared" si="168"/>
        <v>500000</v>
      </c>
      <c r="AH226" s="123">
        <f t="shared" si="169"/>
        <v>500000</v>
      </c>
      <c r="AI226" s="124" t="s">
        <v>187</v>
      </c>
      <c r="AJ226" s="125">
        <v>46085</v>
      </c>
      <c r="AK226" s="126" t="s">
        <v>970</v>
      </c>
      <c r="AL226" s="127" t="s">
        <v>194</v>
      </c>
      <c r="AM226" s="128" t="s">
        <v>971</v>
      </c>
      <c r="AN226" s="129">
        <v>590000</v>
      </c>
      <c r="AO226" s="129" t="s">
        <v>198</v>
      </c>
      <c r="AP226" s="130" t="s">
        <v>218</v>
      </c>
      <c r="AQ226" s="131">
        <f t="shared" si="162"/>
        <v>590000</v>
      </c>
      <c r="AR226" s="132">
        <f t="shared" si="163"/>
        <v>0</v>
      </c>
      <c r="AS226" s="132">
        <f t="shared" si="164"/>
        <v>590000</v>
      </c>
      <c r="AT226" s="132">
        <f t="shared" si="165"/>
        <v>590000</v>
      </c>
      <c r="AU226" s="132">
        <f t="shared" si="166"/>
        <v>590000</v>
      </c>
      <c r="AV226" s="133">
        <f t="shared" si="135"/>
        <v>558333</v>
      </c>
      <c r="AW226" s="133">
        <f t="shared" si="136"/>
        <v>558333</v>
      </c>
      <c r="AX226" s="133">
        <f t="shared" si="137"/>
        <v>50580</v>
      </c>
      <c r="AY226" s="134">
        <f t="shared" si="160"/>
        <v>9.059109886035753E-2</v>
      </c>
      <c r="AZ226" s="5"/>
      <c r="BA226" s="7">
        <f t="shared" si="161"/>
        <v>3</v>
      </c>
      <c r="BB226" s="7" t="s">
        <v>301</v>
      </c>
    </row>
    <row r="227" spans="1:54" ht="409.5">
      <c r="A227" s="105" t="s">
        <v>181</v>
      </c>
      <c r="B227" s="105" t="s">
        <v>241</v>
      </c>
      <c r="C227" s="105">
        <v>78111803</v>
      </c>
      <c r="D227" s="105" t="s">
        <v>994</v>
      </c>
      <c r="E227" s="106" t="s">
        <v>984</v>
      </c>
      <c r="F227" s="107" t="s">
        <v>270</v>
      </c>
      <c r="G227" s="108">
        <v>1</v>
      </c>
      <c r="H227" s="107" t="s">
        <v>288</v>
      </c>
      <c r="I227" s="109" t="s">
        <v>381</v>
      </c>
      <c r="J227" s="110">
        <v>46085</v>
      </c>
      <c r="K227" s="111" t="s">
        <v>970</v>
      </c>
      <c r="L227" s="112" t="s">
        <v>194</v>
      </c>
      <c r="M227" s="110" t="s">
        <v>971</v>
      </c>
      <c r="N227" s="113">
        <v>850000</v>
      </c>
      <c r="O227" s="113" t="s">
        <v>198</v>
      </c>
      <c r="P227" s="113" t="s">
        <v>218</v>
      </c>
      <c r="Q227" s="114">
        <f t="shared" si="151"/>
        <v>850000</v>
      </c>
      <c r="R227" s="115">
        <f t="shared" si="152"/>
        <v>0</v>
      </c>
      <c r="S227" s="115">
        <f t="shared" si="153"/>
        <v>850000</v>
      </c>
      <c r="T227" s="115">
        <f t="shared" si="154"/>
        <v>850000</v>
      </c>
      <c r="U227" s="115">
        <f t="shared" si="155"/>
        <v>850000</v>
      </c>
      <c r="V227" s="116" t="s">
        <v>394</v>
      </c>
      <c r="W227" s="117">
        <v>46085</v>
      </c>
      <c r="X227" s="118" t="s">
        <v>977</v>
      </c>
      <c r="Y227" s="119" t="s">
        <v>189</v>
      </c>
      <c r="Z227" s="120" t="s">
        <v>978</v>
      </c>
      <c r="AA227" s="121">
        <v>640000</v>
      </c>
      <c r="AB227" s="121" t="s">
        <v>198</v>
      </c>
      <c r="AC227" s="121" t="s">
        <v>218</v>
      </c>
      <c r="AD227" s="122">
        <f t="shared" si="167"/>
        <v>640000</v>
      </c>
      <c r="AE227" s="123">
        <f t="shared" si="156"/>
        <v>0</v>
      </c>
      <c r="AF227" s="123">
        <f t="shared" si="157"/>
        <v>640000</v>
      </c>
      <c r="AG227" s="123">
        <f t="shared" si="168"/>
        <v>640000</v>
      </c>
      <c r="AH227" s="123">
        <f t="shared" si="169"/>
        <v>640000</v>
      </c>
      <c r="AI227" s="124" t="s">
        <v>995</v>
      </c>
      <c r="AJ227" s="125">
        <v>46133</v>
      </c>
      <c r="AK227" s="126" t="s">
        <v>996</v>
      </c>
      <c r="AL227" s="127" t="s">
        <v>194</v>
      </c>
      <c r="AM227" s="128" t="s">
        <v>997</v>
      </c>
      <c r="AN227" s="129">
        <v>540000</v>
      </c>
      <c r="AO227" s="129" t="s">
        <v>198</v>
      </c>
      <c r="AP227" s="130" t="s">
        <v>218</v>
      </c>
      <c r="AQ227" s="131">
        <f t="shared" si="162"/>
        <v>540000</v>
      </c>
      <c r="AR227" s="132">
        <f t="shared" si="163"/>
        <v>0</v>
      </c>
      <c r="AS227" s="132">
        <f t="shared" si="164"/>
        <v>540000</v>
      </c>
      <c r="AT227" s="132">
        <f t="shared" si="165"/>
        <v>540000</v>
      </c>
      <c r="AU227" s="132">
        <f t="shared" si="166"/>
        <v>540000</v>
      </c>
      <c r="AV227" s="133">
        <f t="shared" si="135"/>
        <v>676667</v>
      </c>
      <c r="AW227" s="133">
        <f t="shared" si="136"/>
        <v>676667</v>
      </c>
      <c r="AX227" s="133">
        <f t="shared" si="137"/>
        <v>158219</v>
      </c>
      <c r="AY227" s="134">
        <f t="shared" si="160"/>
        <v>0.23382106708321818</v>
      </c>
      <c r="AZ227" s="5"/>
      <c r="BA227" s="7">
        <f t="shared" si="161"/>
        <v>3</v>
      </c>
      <c r="BB227" s="7" t="s">
        <v>301</v>
      </c>
    </row>
    <row r="228" spans="1:54" ht="409.5">
      <c r="A228" s="105" t="s">
        <v>181</v>
      </c>
      <c r="B228" s="105" t="s">
        <v>241</v>
      </c>
      <c r="C228" s="105">
        <v>78111803</v>
      </c>
      <c r="D228" s="105" t="s">
        <v>998</v>
      </c>
      <c r="E228" s="106" t="s">
        <v>984</v>
      </c>
      <c r="F228" s="107" t="s">
        <v>270</v>
      </c>
      <c r="G228" s="108">
        <v>1</v>
      </c>
      <c r="H228" s="107" t="s">
        <v>288</v>
      </c>
      <c r="I228" s="109" t="s">
        <v>457</v>
      </c>
      <c r="J228" s="110">
        <v>46149</v>
      </c>
      <c r="K228" s="111" t="s">
        <v>970</v>
      </c>
      <c r="L228" s="112" t="s">
        <v>189</v>
      </c>
      <c r="M228" s="110" t="s">
        <v>970</v>
      </c>
      <c r="N228" s="113">
        <v>325000</v>
      </c>
      <c r="O228" s="113" t="s">
        <v>198</v>
      </c>
      <c r="P228" s="113" t="s">
        <v>218</v>
      </c>
      <c r="Q228" s="114">
        <f t="shared" si="151"/>
        <v>325000</v>
      </c>
      <c r="R228" s="115">
        <f t="shared" si="152"/>
        <v>0</v>
      </c>
      <c r="S228" s="115">
        <f t="shared" si="153"/>
        <v>325000</v>
      </c>
      <c r="T228" s="115">
        <f t="shared" si="154"/>
        <v>325000</v>
      </c>
      <c r="U228" s="115">
        <f t="shared" si="155"/>
        <v>325000</v>
      </c>
      <c r="V228" s="116" t="s">
        <v>457</v>
      </c>
      <c r="W228" s="117">
        <v>46149</v>
      </c>
      <c r="X228" s="118" t="s">
        <v>974</v>
      </c>
      <c r="Y228" s="119" t="s">
        <v>189</v>
      </c>
      <c r="Z228" s="120" t="s">
        <v>988</v>
      </c>
      <c r="AA228" s="121">
        <v>270000</v>
      </c>
      <c r="AB228" s="121" t="s">
        <v>198</v>
      </c>
      <c r="AC228" s="121" t="s">
        <v>218</v>
      </c>
      <c r="AD228" s="122">
        <f t="shared" si="167"/>
        <v>270000</v>
      </c>
      <c r="AE228" s="123">
        <f t="shared" si="156"/>
        <v>0</v>
      </c>
      <c r="AF228" s="123">
        <f t="shared" si="157"/>
        <v>270000</v>
      </c>
      <c r="AG228" s="123">
        <f t="shared" si="168"/>
        <v>270000</v>
      </c>
      <c r="AH228" s="123">
        <f t="shared" si="169"/>
        <v>270000</v>
      </c>
      <c r="AI228" s="124"/>
      <c r="AJ228" s="125"/>
      <c r="AK228" s="126"/>
      <c r="AL228" s="127"/>
      <c r="AM228" s="128"/>
      <c r="AN228" s="129"/>
      <c r="AO228" s="129"/>
      <c r="AP228" s="130"/>
      <c r="AQ228" s="131"/>
      <c r="AR228" s="132"/>
      <c r="AS228" s="132"/>
      <c r="AT228" s="132"/>
      <c r="AU228" s="132"/>
      <c r="AV228" s="133">
        <f t="shared" si="135"/>
        <v>297500</v>
      </c>
      <c r="AW228" s="133">
        <f t="shared" si="136"/>
        <v>297500</v>
      </c>
      <c r="AX228" s="133">
        <f t="shared" si="137"/>
        <v>38891</v>
      </c>
      <c r="AY228" s="134">
        <f t="shared" si="160"/>
        <v>0.13072605042016808</v>
      </c>
      <c r="AZ228" s="5" t="s">
        <v>999</v>
      </c>
      <c r="BA228" s="7">
        <f t="shared" si="161"/>
        <v>2</v>
      </c>
      <c r="BB228" s="7" t="s">
        <v>558</v>
      </c>
    </row>
    <row r="229" spans="1:54" ht="67.5">
      <c r="A229" s="105" t="s">
        <v>181</v>
      </c>
      <c r="B229" s="105" t="s">
        <v>259</v>
      </c>
      <c r="C229" s="105">
        <v>31201632</v>
      </c>
      <c r="D229" s="105" t="s">
        <v>1000</v>
      </c>
      <c r="E229" s="106" t="s">
        <v>1001</v>
      </c>
      <c r="F229" s="107" t="s">
        <v>185</v>
      </c>
      <c r="G229" s="108">
        <v>1</v>
      </c>
      <c r="H229" s="107" t="s">
        <v>186</v>
      </c>
      <c r="I229" s="109" t="s">
        <v>187</v>
      </c>
      <c r="J229" s="110">
        <v>46091</v>
      </c>
      <c r="K229" s="111" t="s">
        <v>608</v>
      </c>
      <c r="L229" s="112" t="s">
        <v>194</v>
      </c>
      <c r="M229" s="110" t="s">
        <v>609</v>
      </c>
      <c r="N229" s="113">
        <v>13950</v>
      </c>
      <c r="O229" s="113" t="s">
        <v>198</v>
      </c>
      <c r="P229" s="113" t="s">
        <v>192</v>
      </c>
      <c r="Q229" s="114">
        <f t="shared" si="151"/>
        <v>13950</v>
      </c>
      <c r="R229" s="115">
        <f t="shared" si="152"/>
        <v>2650.5</v>
      </c>
      <c r="S229" s="115">
        <f t="shared" si="153"/>
        <v>16600.5</v>
      </c>
      <c r="T229" s="115">
        <f t="shared" si="154"/>
        <v>13950</v>
      </c>
      <c r="U229" s="115">
        <f t="shared" si="155"/>
        <v>16600.5</v>
      </c>
      <c r="V229" s="116" t="s">
        <v>187</v>
      </c>
      <c r="W229" s="117">
        <v>46091</v>
      </c>
      <c r="X229" s="118" t="s">
        <v>747</v>
      </c>
      <c r="Y229" s="119" t="s">
        <v>194</v>
      </c>
      <c r="Z229" s="120" t="s">
        <v>933</v>
      </c>
      <c r="AA229" s="121">
        <v>14800</v>
      </c>
      <c r="AB229" s="121" t="s">
        <v>191</v>
      </c>
      <c r="AC229" s="121" t="s">
        <v>192</v>
      </c>
      <c r="AD229" s="122">
        <f t="shared" si="167"/>
        <v>12436.974789915967</v>
      </c>
      <c r="AE229" s="123">
        <f t="shared" si="156"/>
        <v>2363.0252100840335</v>
      </c>
      <c r="AF229" s="123">
        <f t="shared" si="157"/>
        <v>14800</v>
      </c>
      <c r="AG229" s="123">
        <f t="shared" si="168"/>
        <v>14800</v>
      </c>
      <c r="AH229" s="123">
        <f t="shared" si="169"/>
        <v>14800</v>
      </c>
      <c r="AI229" s="124" t="s">
        <v>187</v>
      </c>
      <c r="AJ229" s="125">
        <v>46091</v>
      </c>
      <c r="AK229" s="126" t="s">
        <v>1002</v>
      </c>
      <c r="AL229" s="127" t="s">
        <v>194</v>
      </c>
      <c r="AM229" s="128" t="s">
        <v>1003</v>
      </c>
      <c r="AN229" s="129">
        <v>14000</v>
      </c>
      <c r="AO229" s="129" t="s">
        <v>191</v>
      </c>
      <c r="AP229" s="130" t="s">
        <v>192</v>
      </c>
      <c r="AQ229" s="131">
        <f>IF(AO229="IVA Incluido",(AN229/1.19),AN229)</f>
        <v>11764.705882352942</v>
      </c>
      <c r="AR229" s="132">
        <f>IF(AP229="Si tiene IVA",AQ229*19%,0)</f>
        <v>2235.294117647059</v>
      </c>
      <c r="AS229" s="132">
        <f>AQ229+AR229</f>
        <v>14000.000000000002</v>
      </c>
      <c r="AT229" s="132">
        <f>IF(AB229="","",(AN229*G229))</f>
        <v>14000</v>
      </c>
      <c r="AU229" s="132">
        <f>IF(AB229="","",(AS229*G229))</f>
        <v>14000.000000000002</v>
      </c>
      <c r="AV229" s="133">
        <f t="shared" si="135"/>
        <v>15134</v>
      </c>
      <c r="AW229" s="133">
        <f t="shared" si="136"/>
        <v>15134</v>
      </c>
      <c r="AX229" s="133">
        <f t="shared" si="137"/>
        <v>1332</v>
      </c>
      <c r="AY229" s="134">
        <f t="shared" si="160"/>
        <v>8.8013743887934454E-2</v>
      </c>
      <c r="AZ229" s="5"/>
      <c r="BA229" s="7">
        <f t="shared" si="161"/>
        <v>3</v>
      </c>
      <c r="BB229" s="7"/>
    </row>
    <row r="230" spans="1:54" ht="67.5">
      <c r="A230" s="105" t="s">
        <v>181</v>
      </c>
      <c r="B230" s="105" t="s">
        <v>259</v>
      </c>
      <c r="C230" s="105">
        <v>31201632</v>
      </c>
      <c r="D230" s="105" t="s">
        <v>1004</v>
      </c>
      <c r="E230" s="106" t="s">
        <v>1005</v>
      </c>
      <c r="F230" s="107" t="s">
        <v>185</v>
      </c>
      <c r="G230" s="108">
        <v>1</v>
      </c>
      <c r="H230" s="107" t="s">
        <v>186</v>
      </c>
      <c r="I230" s="109" t="s">
        <v>187</v>
      </c>
      <c r="J230" s="110">
        <v>46091</v>
      </c>
      <c r="K230" s="111" t="s">
        <v>608</v>
      </c>
      <c r="L230" s="112" t="s">
        <v>194</v>
      </c>
      <c r="M230" s="110" t="s">
        <v>609</v>
      </c>
      <c r="N230" s="113">
        <v>13950</v>
      </c>
      <c r="O230" s="113" t="s">
        <v>198</v>
      </c>
      <c r="P230" s="113" t="s">
        <v>192</v>
      </c>
      <c r="Q230" s="114">
        <f t="shared" si="151"/>
        <v>13950</v>
      </c>
      <c r="R230" s="115">
        <f t="shared" si="152"/>
        <v>2650.5</v>
      </c>
      <c r="S230" s="115">
        <f t="shared" si="153"/>
        <v>16600.5</v>
      </c>
      <c r="T230" s="115"/>
      <c r="U230" s="115">
        <f t="shared" si="155"/>
        <v>16600.5</v>
      </c>
      <c r="V230" s="116" t="s">
        <v>187</v>
      </c>
      <c r="W230" s="117">
        <v>46091</v>
      </c>
      <c r="X230" s="118" t="s">
        <v>747</v>
      </c>
      <c r="Y230" s="119" t="s">
        <v>194</v>
      </c>
      <c r="Z230" s="120" t="s">
        <v>933</v>
      </c>
      <c r="AA230" s="121">
        <v>14800</v>
      </c>
      <c r="AB230" s="121" t="s">
        <v>191</v>
      </c>
      <c r="AC230" s="121" t="s">
        <v>192</v>
      </c>
      <c r="AD230" s="122">
        <f t="shared" si="167"/>
        <v>12436.974789915967</v>
      </c>
      <c r="AE230" s="123">
        <f t="shared" si="156"/>
        <v>2363.0252100840335</v>
      </c>
      <c r="AF230" s="123">
        <f t="shared" si="157"/>
        <v>14800</v>
      </c>
      <c r="AG230" s="123">
        <f t="shared" si="168"/>
        <v>14800</v>
      </c>
      <c r="AH230" s="123">
        <f t="shared" si="169"/>
        <v>14800</v>
      </c>
      <c r="AI230" s="124" t="s">
        <v>187</v>
      </c>
      <c r="AJ230" s="125">
        <v>46091</v>
      </c>
      <c r="AK230" s="126" t="s">
        <v>266</v>
      </c>
      <c r="AL230" s="127" t="s">
        <v>194</v>
      </c>
      <c r="AM230" s="128" t="s">
        <v>1006</v>
      </c>
      <c r="AN230" s="129">
        <v>14400</v>
      </c>
      <c r="AO230" s="129" t="s">
        <v>191</v>
      </c>
      <c r="AP230" s="130" t="s">
        <v>192</v>
      </c>
      <c r="AQ230" s="131">
        <f>IF(AO230="IVA Incluido",(AN230/1.19),AN230)</f>
        <v>12100.840336134454</v>
      </c>
      <c r="AR230" s="132">
        <f>IF(AP230="Si tiene IVA",AQ230*19%,0)</f>
        <v>2299.159663865546</v>
      </c>
      <c r="AS230" s="132">
        <f>AQ230+AR230</f>
        <v>14400</v>
      </c>
      <c r="AT230" s="132">
        <f>IF(AB230="","",(AN230*G230))</f>
        <v>14400</v>
      </c>
      <c r="AU230" s="132">
        <f>IF(AB230="","",(AS230*G230))</f>
        <v>14400</v>
      </c>
      <c r="AV230" s="133">
        <f t="shared" si="135"/>
        <v>15267</v>
      </c>
      <c r="AW230" s="133">
        <f t="shared" si="136"/>
        <v>15267</v>
      </c>
      <c r="AX230" s="133">
        <f t="shared" si="137"/>
        <v>1172</v>
      </c>
      <c r="AY230" s="134">
        <f t="shared" si="160"/>
        <v>7.6766882819152421E-2</v>
      </c>
      <c r="AZ230" s="5"/>
      <c r="BA230" s="7">
        <f t="shared" si="161"/>
        <v>3</v>
      </c>
      <c r="BB230" s="7"/>
    </row>
    <row r="231" spans="1:54" ht="297">
      <c r="A231" s="105" t="s">
        <v>252</v>
      </c>
      <c r="B231" s="105" t="s">
        <v>252</v>
      </c>
      <c r="C231" s="105" t="s">
        <v>252</v>
      </c>
      <c r="D231" s="105" t="s">
        <v>1007</v>
      </c>
      <c r="E231" s="106" t="s">
        <v>1008</v>
      </c>
      <c r="F231" s="107" t="s">
        <v>255</v>
      </c>
      <c r="G231" s="108">
        <v>1</v>
      </c>
      <c r="H231" s="107"/>
      <c r="I231" s="109"/>
      <c r="J231" s="110"/>
      <c r="K231" s="111"/>
      <c r="L231" s="112"/>
      <c r="M231" s="110"/>
      <c r="N231" s="113"/>
      <c r="O231" s="113"/>
      <c r="P231" s="113"/>
      <c r="Q231" s="114" t="s">
        <v>256</v>
      </c>
      <c r="R231" s="115" t="s">
        <v>256</v>
      </c>
      <c r="S231" s="115" t="s">
        <v>256</v>
      </c>
      <c r="T231" s="115" t="s">
        <v>256</v>
      </c>
      <c r="U231" s="115" t="s">
        <v>256</v>
      </c>
      <c r="V231" s="116" t="s">
        <v>252</v>
      </c>
      <c r="W231" s="117" t="s">
        <v>252</v>
      </c>
      <c r="X231" s="118" t="s">
        <v>252</v>
      </c>
      <c r="Y231" s="119" t="s">
        <v>252</v>
      </c>
      <c r="Z231" s="120" t="s">
        <v>257</v>
      </c>
      <c r="AA231" s="121" t="s">
        <v>252</v>
      </c>
      <c r="AB231" s="121" t="s">
        <v>252</v>
      </c>
      <c r="AC231" s="121" t="s">
        <v>252</v>
      </c>
      <c r="AD231" s="122" t="s">
        <v>252</v>
      </c>
      <c r="AE231" s="123" t="s">
        <v>252</v>
      </c>
      <c r="AF231" s="123">
        <f>AH231/1.19</f>
        <v>152126.89075630254</v>
      </c>
      <c r="AG231" s="123">
        <f>AF231*19%</f>
        <v>28904.109243697483</v>
      </c>
      <c r="AH231" s="123">
        <v>181031</v>
      </c>
      <c r="AI231" s="124" t="s">
        <v>252</v>
      </c>
      <c r="AJ231" s="125" t="s">
        <v>252</v>
      </c>
      <c r="AK231" s="126" t="s">
        <v>252</v>
      </c>
      <c r="AL231" s="127" t="s">
        <v>252</v>
      </c>
      <c r="AM231" s="128" t="s">
        <v>258</v>
      </c>
      <c r="AN231" s="129" t="s">
        <v>252</v>
      </c>
      <c r="AO231" s="129" t="s">
        <v>252</v>
      </c>
      <c r="AP231" s="130" t="s">
        <v>252</v>
      </c>
      <c r="AQ231" s="131">
        <v>146996</v>
      </c>
      <c r="AR231" s="132">
        <v>27929</v>
      </c>
      <c r="AS231" s="132">
        <v>174925</v>
      </c>
      <c r="AT231" s="132">
        <v>146996</v>
      </c>
      <c r="AU231" s="132">
        <v>174925</v>
      </c>
      <c r="AV231" s="133">
        <f t="shared" si="135"/>
        <v>163526</v>
      </c>
      <c r="AW231" s="133">
        <f t="shared" si="136"/>
        <v>163526</v>
      </c>
      <c r="AX231" s="133" t="str">
        <f t="shared" si="137"/>
        <v/>
      </c>
      <c r="AY231" s="134">
        <v>2.4299999999999999E-2</v>
      </c>
      <c r="AZ231" s="5"/>
      <c r="BA231" s="7"/>
      <c r="BB231" s="7"/>
    </row>
    <row r="232" spans="1:54" ht="40.5">
      <c r="A232" s="105" t="s">
        <v>181</v>
      </c>
      <c r="B232" s="105" t="s">
        <v>259</v>
      </c>
      <c r="C232" s="105">
        <v>44121506</v>
      </c>
      <c r="D232" s="105" t="s">
        <v>1009</v>
      </c>
      <c r="E232" s="106" t="s">
        <v>1010</v>
      </c>
      <c r="F232" s="107" t="s">
        <v>185</v>
      </c>
      <c r="G232" s="108">
        <v>1</v>
      </c>
      <c r="H232" s="107" t="s">
        <v>186</v>
      </c>
      <c r="I232" s="109" t="s">
        <v>200</v>
      </c>
      <c r="J232" s="110">
        <v>46069</v>
      </c>
      <c r="K232" s="111" t="s">
        <v>266</v>
      </c>
      <c r="L232" s="112" t="s">
        <v>194</v>
      </c>
      <c r="M232" s="110" t="s">
        <v>785</v>
      </c>
      <c r="N232" s="113">
        <v>8200</v>
      </c>
      <c r="O232" s="113" t="s">
        <v>191</v>
      </c>
      <c r="P232" s="113" t="s">
        <v>192</v>
      </c>
      <c r="Q232" s="114">
        <f>IF(O232="IVA Incluido",(N232/1.19),N232)</f>
        <v>6890.7563025210084</v>
      </c>
      <c r="R232" s="115">
        <f>IF(P232="Si tiene IVA",Q232*19%,0)</f>
        <v>1309.2436974789916</v>
      </c>
      <c r="S232" s="115">
        <f>Q232+R232</f>
        <v>8200</v>
      </c>
      <c r="T232" s="115">
        <f>IF(B232="","",(N232*G232))</f>
        <v>8200</v>
      </c>
      <c r="U232" s="115">
        <f>IF(B232="","",(S232*G232))</f>
        <v>8200</v>
      </c>
      <c r="V232" s="116" t="s">
        <v>200</v>
      </c>
      <c r="W232" s="117">
        <v>46069</v>
      </c>
      <c r="X232" s="118" t="s">
        <v>1011</v>
      </c>
      <c r="Y232" s="119" t="s">
        <v>194</v>
      </c>
      <c r="Z232" s="120" t="s">
        <v>1012</v>
      </c>
      <c r="AA232" s="121">
        <v>10500</v>
      </c>
      <c r="AB232" s="121" t="s">
        <v>191</v>
      </c>
      <c r="AC232" s="121" t="s">
        <v>192</v>
      </c>
      <c r="AD232" s="122">
        <f>IF(AB232="IVA Incluido",(AA232/1.19),AA232)</f>
        <v>8823.5294117647063</v>
      </c>
      <c r="AE232" s="123">
        <f>IF(AC232="Si tiene IVA",AD232*19%,0)</f>
        <v>1676.4705882352941</v>
      </c>
      <c r="AF232" s="123">
        <f>AD232+AE232</f>
        <v>10500</v>
      </c>
      <c r="AG232" s="123">
        <f>IF(O232="","",(AA232*G232))</f>
        <v>10500</v>
      </c>
      <c r="AH232" s="123">
        <f>IF(O232="","",(AF232*G232))</f>
        <v>10500</v>
      </c>
      <c r="AI232" s="124" t="s">
        <v>200</v>
      </c>
      <c r="AJ232" s="125">
        <v>46069</v>
      </c>
      <c r="AK232" s="126" t="s">
        <v>488</v>
      </c>
      <c r="AL232" s="127" t="s">
        <v>194</v>
      </c>
      <c r="AM232" s="128" t="s">
        <v>489</v>
      </c>
      <c r="AN232" s="129">
        <v>6126</v>
      </c>
      <c r="AO232" s="129" t="s">
        <v>198</v>
      </c>
      <c r="AP232" s="130" t="s">
        <v>192</v>
      </c>
      <c r="AQ232" s="131">
        <f>IF(AO232="IVA Incluido",(AN232/1.19),AN232)</f>
        <v>6126</v>
      </c>
      <c r="AR232" s="132">
        <f>IF(AP232="Si tiene IVA",AQ232*19%,0)</f>
        <v>1163.94</v>
      </c>
      <c r="AS232" s="132">
        <f>AQ232+AR232</f>
        <v>7289.9400000000005</v>
      </c>
      <c r="AT232" s="132">
        <f>IF(AB232="","",(AN232*G232))</f>
        <v>6126</v>
      </c>
      <c r="AU232" s="132">
        <f>IF(AB232="","",(AS232*G232))</f>
        <v>7289.9400000000005</v>
      </c>
      <c r="AV232" s="133">
        <f t="shared" si="135"/>
        <v>8663</v>
      </c>
      <c r="AW232" s="133">
        <f t="shared" si="136"/>
        <v>8663</v>
      </c>
      <c r="AX232" s="133">
        <f t="shared" si="137"/>
        <v>1654</v>
      </c>
      <c r="AY232" s="134">
        <f>IF(N232="","",(AX232/AW232))</f>
        <v>0.19092693062449498</v>
      </c>
      <c r="AZ232" s="5"/>
      <c r="BA232" s="7">
        <f>COUNTA(M232,Z232,AM232)</f>
        <v>3</v>
      </c>
      <c r="BB232" s="7"/>
    </row>
    <row r="233" spans="1:54" ht="297">
      <c r="A233" s="105" t="s">
        <v>252</v>
      </c>
      <c r="B233" s="105" t="s">
        <v>252</v>
      </c>
      <c r="C233" s="105" t="s">
        <v>252</v>
      </c>
      <c r="D233" s="105" t="s">
        <v>1013</v>
      </c>
      <c r="E233" s="106" t="s">
        <v>1014</v>
      </c>
      <c r="F233" s="107" t="s">
        <v>255</v>
      </c>
      <c r="G233" s="108">
        <v>1</v>
      </c>
      <c r="H233" s="107"/>
      <c r="I233" s="109"/>
      <c r="J233" s="110"/>
      <c r="K233" s="111"/>
      <c r="L233" s="112"/>
      <c r="M233" s="110"/>
      <c r="N233" s="113"/>
      <c r="O233" s="113"/>
      <c r="P233" s="113"/>
      <c r="Q233" s="114" t="s">
        <v>256</v>
      </c>
      <c r="R233" s="115" t="s">
        <v>256</v>
      </c>
      <c r="S233" s="115" t="s">
        <v>256</v>
      </c>
      <c r="T233" s="115" t="s">
        <v>256</v>
      </c>
      <c r="U233" s="115" t="s">
        <v>256</v>
      </c>
      <c r="V233" s="116" t="s">
        <v>252</v>
      </c>
      <c r="W233" s="117" t="s">
        <v>252</v>
      </c>
      <c r="X233" s="118" t="s">
        <v>252</v>
      </c>
      <c r="Y233" s="119" t="s">
        <v>252</v>
      </c>
      <c r="Z233" s="120" t="s">
        <v>257</v>
      </c>
      <c r="AA233" s="121" t="s">
        <v>252</v>
      </c>
      <c r="AB233" s="121" t="s">
        <v>252</v>
      </c>
      <c r="AC233" s="121" t="s">
        <v>252</v>
      </c>
      <c r="AD233" s="122" t="s">
        <v>252</v>
      </c>
      <c r="AE233" s="123" t="s">
        <v>252</v>
      </c>
      <c r="AF233" s="123">
        <f>AH233/1.19</f>
        <v>245826.05042016809</v>
      </c>
      <c r="AG233" s="123">
        <f>AF233*19%</f>
        <v>46706.94957983194</v>
      </c>
      <c r="AH233" s="123">
        <v>292533</v>
      </c>
      <c r="AI233" s="124" t="s">
        <v>252</v>
      </c>
      <c r="AJ233" s="125" t="s">
        <v>252</v>
      </c>
      <c r="AK233" s="126" t="s">
        <v>252</v>
      </c>
      <c r="AL233" s="127" t="s">
        <v>252</v>
      </c>
      <c r="AM233" s="128" t="s">
        <v>258</v>
      </c>
      <c r="AN233" s="129" t="s">
        <v>252</v>
      </c>
      <c r="AO233" s="129" t="s">
        <v>252</v>
      </c>
      <c r="AP233" s="130" t="s">
        <v>252</v>
      </c>
      <c r="AQ233" s="131">
        <v>237536</v>
      </c>
      <c r="AR233" s="132">
        <v>45132</v>
      </c>
      <c r="AS233" s="132">
        <v>282668</v>
      </c>
      <c r="AT233" s="132">
        <v>237536</v>
      </c>
      <c r="AU233" s="132">
        <v>282668</v>
      </c>
      <c r="AV233" s="133">
        <f t="shared" si="135"/>
        <v>264247</v>
      </c>
      <c r="AW233" s="133">
        <f t="shared" si="136"/>
        <v>264247</v>
      </c>
      <c r="AX233" s="133" t="str">
        <f t="shared" si="137"/>
        <v/>
      </c>
      <c r="AY233" s="134">
        <v>2.4299999999999999E-2</v>
      </c>
      <c r="AZ233" s="5"/>
      <c r="BA233" s="7"/>
      <c r="BB233" s="7"/>
    </row>
    <row r="234" spans="1:54" ht="297">
      <c r="A234" s="105" t="s">
        <v>252</v>
      </c>
      <c r="B234" s="105" t="s">
        <v>252</v>
      </c>
      <c r="C234" s="105" t="s">
        <v>252</v>
      </c>
      <c r="D234" s="105" t="s">
        <v>1015</v>
      </c>
      <c r="E234" s="106" t="s">
        <v>1016</v>
      </c>
      <c r="F234" s="107" t="s">
        <v>255</v>
      </c>
      <c r="G234" s="108">
        <v>1</v>
      </c>
      <c r="H234" s="107"/>
      <c r="I234" s="109"/>
      <c r="J234" s="110"/>
      <c r="K234" s="111"/>
      <c r="L234" s="112"/>
      <c r="M234" s="110"/>
      <c r="N234" s="113"/>
      <c r="O234" s="113"/>
      <c r="P234" s="113"/>
      <c r="Q234" s="114" t="s">
        <v>256</v>
      </c>
      <c r="R234" s="115" t="s">
        <v>256</v>
      </c>
      <c r="S234" s="115" t="s">
        <v>256</v>
      </c>
      <c r="T234" s="115" t="s">
        <v>256</v>
      </c>
      <c r="U234" s="115" t="s">
        <v>256</v>
      </c>
      <c r="V234" s="116" t="s">
        <v>252</v>
      </c>
      <c r="W234" s="117" t="s">
        <v>252</v>
      </c>
      <c r="X234" s="118" t="s">
        <v>252</v>
      </c>
      <c r="Y234" s="119" t="s">
        <v>252</v>
      </c>
      <c r="Z234" s="120" t="s">
        <v>257</v>
      </c>
      <c r="AA234" s="121" t="s">
        <v>252</v>
      </c>
      <c r="AB234" s="121" t="s">
        <v>252</v>
      </c>
      <c r="AC234" s="121" t="s">
        <v>252</v>
      </c>
      <c r="AD234" s="122" t="s">
        <v>252</v>
      </c>
      <c r="AE234" s="123" t="s">
        <v>252</v>
      </c>
      <c r="AF234" s="123">
        <f>AH234/1.19</f>
        <v>5251589.9159663869</v>
      </c>
      <c r="AG234" s="123">
        <f>AF234*19%</f>
        <v>997802.08403361356</v>
      </c>
      <c r="AH234" s="123">
        <v>6249392</v>
      </c>
      <c r="AI234" s="124" t="s">
        <v>252</v>
      </c>
      <c r="AJ234" s="125" t="s">
        <v>252</v>
      </c>
      <c r="AK234" s="126" t="s">
        <v>252</v>
      </c>
      <c r="AL234" s="127" t="s">
        <v>252</v>
      </c>
      <c r="AM234" s="128" t="s">
        <v>258</v>
      </c>
      <c r="AN234" s="129" t="s">
        <v>252</v>
      </c>
      <c r="AO234" s="129" t="s">
        <v>252</v>
      </c>
      <c r="AP234" s="130" t="s">
        <v>252</v>
      </c>
      <c r="AQ234" s="131">
        <v>5074481</v>
      </c>
      <c r="AR234" s="132">
        <v>964151</v>
      </c>
      <c r="AS234" s="132">
        <v>6038632</v>
      </c>
      <c r="AT234" s="132">
        <v>5074481</v>
      </c>
      <c r="AU234" s="132">
        <v>6038632</v>
      </c>
      <c r="AV234" s="133">
        <f t="shared" si="135"/>
        <v>5645111</v>
      </c>
      <c r="AW234" s="133">
        <f t="shared" si="136"/>
        <v>5645111</v>
      </c>
      <c r="AX234" s="133" t="str">
        <f t="shared" si="137"/>
        <v/>
      </c>
      <c r="AY234" s="134">
        <v>2.4299999999999999E-2</v>
      </c>
      <c r="AZ234" s="5"/>
      <c r="BA234" s="7"/>
      <c r="BB234" s="7"/>
    </row>
    <row r="235" spans="1:54" ht="297">
      <c r="A235" s="105" t="s">
        <v>252</v>
      </c>
      <c r="B235" s="105" t="s">
        <v>252</v>
      </c>
      <c r="C235" s="105" t="s">
        <v>252</v>
      </c>
      <c r="D235" s="105" t="s">
        <v>1017</v>
      </c>
      <c r="E235" s="106" t="s">
        <v>1018</v>
      </c>
      <c r="F235" s="107" t="s">
        <v>255</v>
      </c>
      <c r="G235" s="108">
        <v>1</v>
      </c>
      <c r="H235" s="107"/>
      <c r="I235" s="109"/>
      <c r="J235" s="110"/>
      <c r="K235" s="111"/>
      <c r="L235" s="112"/>
      <c r="M235" s="110"/>
      <c r="N235" s="113"/>
      <c r="O235" s="113"/>
      <c r="P235" s="113"/>
      <c r="Q235" s="114" t="s">
        <v>256</v>
      </c>
      <c r="R235" s="115" t="s">
        <v>256</v>
      </c>
      <c r="S235" s="115" t="s">
        <v>256</v>
      </c>
      <c r="T235" s="115" t="s">
        <v>256</v>
      </c>
      <c r="U235" s="115" t="s">
        <v>256</v>
      </c>
      <c r="V235" s="116" t="s">
        <v>252</v>
      </c>
      <c r="W235" s="117" t="s">
        <v>252</v>
      </c>
      <c r="X235" s="118" t="s">
        <v>252</v>
      </c>
      <c r="Y235" s="119" t="s">
        <v>252</v>
      </c>
      <c r="Z235" s="120" t="s">
        <v>257</v>
      </c>
      <c r="AA235" s="121" t="s">
        <v>252</v>
      </c>
      <c r="AB235" s="121" t="s">
        <v>252</v>
      </c>
      <c r="AC235" s="121" t="s">
        <v>252</v>
      </c>
      <c r="AD235" s="122" t="s">
        <v>252</v>
      </c>
      <c r="AE235" s="123" t="s">
        <v>252</v>
      </c>
      <c r="AF235" s="123">
        <f>AH235/1.19</f>
        <v>8664169.7478991598</v>
      </c>
      <c r="AG235" s="123">
        <f>AF235*19%</f>
        <v>1646192.2521008404</v>
      </c>
      <c r="AH235" s="123">
        <v>10310362</v>
      </c>
      <c r="AI235" s="124" t="s">
        <v>252</v>
      </c>
      <c r="AJ235" s="125" t="s">
        <v>252</v>
      </c>
      <c r="AK235" s="126" t="s">
        <v>252</v>
      </c>
      <c r="AL235" s="127" t="s">
        <v>252</v>
      </c>
      <c r="AM235" s="128" t="s">
        <v>258</v>
      </c>
      <c r="AN235" s="129" t="s">
        <v>252</v>
      </c>
      <c r="AO235" s="129" t="s">
        <v>252</v>
      </c>
      <c r="AP235" s="130" t="s">
        <v>252</v>
      </c>
      <c r="AQ235" s="131">
        <v>8371971</v>
      </c>
      <c r="AR235" s="132">
        <v>1590675</v>
      </c>
      <c r="AS235" s="132">
        <v>9962646</v>
      </c>
      <c r="AT235" s="132">
        <v>8371971</v>
      </c>
      <c r="AU235" s="132">
        <v>9962646</v>
      </c>
      <c r="AV235" s="133">
        <f t="shared" si="135"/>
        <v>9313408</v>
      </c>
      <c r="AW235" s="133">
        <f t="shared" si="136"/>
        <v>9313408</v>
      </c>
      <c r="AX235" s="133" t="str">
        <f t="shared" si="137"/>
        <v/>
      </c>
      <c r="AY235" s="134">
        <v>2.4299999999999999E-2</v>
      </c>
      <c r="AZ235" s="5"/>
      <c r="BA235" s="7"/>
      <c r="BB235" s="7"/>
    </row>
    <row r="236" spans="1:54" ht="81">
      <c r="A236" s="105" t="s">
        <v>181</v>
      </c>
      <c r="B236" s="105" t="s">
        <v>259</v>
      </c>
      <c r="C236" s="105">
        <v>44122012</v>
      </c>
      <c r="D236" s="105" t="s">
        <v>1019</v>
      </c>
      <c r="E236" s="106" t="s">
        <v>1019</v>
      </c>
      <c r="F236" s="107" t="s">
        <v>185</v>
      </c>
      <c r="G236" s="108">
        <v>1</v>
      </c>
      <c r="H236" s="107" t="s">
        <v>186</v>
      </c>
      <c r="I236" s="109" t="s">
        <v>187</v>
      </c>
      <c r="J236" s="110">
        <v>46091</v>
      </c>
      <c r="K236" s="111" t="s">
        <v>1020</v>
      </c>
      <c r="L236" s="112" t="s">
        <v>194</v>
      </c>
      <c r="M236" s="110" t="s">
        <v>1021</v>
      </c>
      <c r="N236" s="113">
        <v>5200</v>
      </c>
      <c r="O236" s="113" t="s">
        <v>191</v>
      </c>
      <c r="P236" s="113" t="s">
        <v>192</v>
      </c>
      <c r="Q236" s="114">
        <f t="shared" ref="Q236:Q247" si="170">IF(O236="IVA Incluido",(N236/1.19),N236)</f>
        <v>4369.7478991596645</v>
      </c>
      <c r="R236" s="115">
        <f>IF(P236="Si tiene IVA",Q236*19%,0)</f>
        <v>830.25210084033631</v>
      </c>
      <c r="S236" s="115">
        <f t="shared" ref="S236:S247" si="171">Q236+R236</f>
        <v>5200.0000000000009</v>
      </c>
      <c r="T236" s="115">
        <f t="shared" ref="T236:T247" si="172">IF(B236="","",(N236*G236))</f>
        <v>5200</v>
      </c>
      <c r="U236" s="115">
        <f t="shared" ref="U236:U247" si="173">IF(B236="","",(S236*G236))</f>
        <v>5200.0000000000009</v>
      </c>
      <c r="V236" s="116" t="s">
        <v>187</v>
      </c>
      <c r="W236" s="117">
        <v>46091</v>
      </c>
      <c r="X236" s="118" t="s">
        <v>608</v>
      </c>
      <c r="Y236" s="119" t="s">
        <v>194</v>
      </c>
      <c r="Z236" s="120" t="s">
        <v>771</v>
      </c>
      <c r="AA236" s="121">
        <v>4200</v>
      </c>
      <c r="AB236" s="121" t="s">
        <v>198</v>
      </c>
      <c r="AC236" s="121" t="s">
        <v>192</v>
      </c>
      <c r="AD236" s="122">
        <f t="shared" ref="AD236:AD247" si="174">IF(AB236="IVA Incluido",(AA236/1.19),AA236)</f>
        <v>4200</v>
      </c>
      <c r="AE236" s="123">
        <f>IF(AC236="Si tiene IVA",AD236*19%,0)</f>
        <v>798</v>
      </c>
      <c r="AF236" s="123">
        <f t="shared" ref="AF236:AF247" si="175">AD236+AE236</f>
        <v>4998</v>
      </c>
      <c r="AG236" s="123">
        <f t="shared" ref="AG236:AG247" si="176">IF(O236="","",(AA236*G236))</f>
        <v>4200</v>
      </c>
      <c r="AH236" s="123">
        <f t="shared" ref="AH236:AH247" si="177">IF(O236="","",(AF236*G236))</f>
        <v>4998</v>
      </c>
      <c r="AI236" s="124" t="s">
        <v>187</v>
      </c>
      <c r="AJ236" s="125">
        <v>46091</v>
      </c>
      <c r="AK236" s="126" t="s">
        <v>747</v>
      </c>
      <c r="AL236" s="127" t="s">
        <v>194</v>
      </c>
      <c r="AM236" s="128" t="s">
        <v>748</v>
      </c>
      <c r="AN236" s="129">
        <v>4800</v>
      </c>
      <c r="AO236" s="129" t="s">
        <v>191</v>
      </c>
      <c r="AP236" s="130" t="s">
        <v>192</v>
      </c>
      <c r="AQ236" s="131">
        <f>IF(AO236="IVA Incluido",(AN236/1.19),AN236)</f>
        <v>4033.6134453781515</v>
      </c>
      <c r="AR236" s="132">
        <f>IF(AP236="Si tiene IVA",AQ236*19%,0)</f>
        <v>766.38655462184875</v>
      </c>
      <c r="AS236" s="132">
        <f t="shared" ref="AS236:AS247" si="178">AQ236+AR236</f>
        <v>4800</v>
      </c>
      <c r="AT236" s="132">
        <f t="shared" ref="AT236:AT247" si="179">IF(AB236="","",(AN236*G236))</f>
        <v>4800</v>
      </c>
      <c r="AU236" s="132">
        <f t="shared" ref="AU236:AU247" si="180">IF(AB236="","",(AS236*G236))</f>
        <v>4800</v>
      </c>
      <c r="AV236" s="133">
        <f t="shared" si="135"/>
        <v>4999</v>
      </c>
      <c r="AW236" s="133">
        <f t="shared" si="136"/>
        <v>4999</v>
      </c>
      <c r="AX236" s="133">
        <f t="shared" si="137"/>
        <v>200</v>
      </c>
      <c r="AY236" s="134">
        <f t="shared" ref="AY236:AY247" si="181">IF(N236="","",(AX236/AW236))</f>
        <v>4.0008001600320066E-2</v>
      </c>
      <c r="AZ236" s="5"/>
      <c r="BA236" s="7">
        <f t="shared" ref="BA236:BA247" si="182">COUNTA(M236,Z236,AM236)</f>
        <v>3</v>
      </c>
      <c r="BB236" s="7"/>
    </row>
    <row r="237" spans="1:54" ht="94.5">
      <c r="A237" s="105" t="s">
        <v>181</v>
      </c>
      <c r="B237" s="105" t="s">
        <v>259</v>
      </c>
      <c r="C237" s="105">
        <v>44111905</v>
      </c>
      <c r="D237" s="105" t="s">
        <v>1022</v>
      </c>
      <c r="E237" s="105" t="s">
        <v>1023</v>
      </c>
      <c r="F237" s="107" t="s">
        <v>185</v>
      </c>
      <c r="G237" s="108">
        <v>1</v>
      </c>
      <c r="H237" s="107" t="s">
        <v>186</v>
      </c>
      <c r="I237" s="109" t="s">
        <v>187</v>
      </c>
      <c r="J237" s="110">
        <v>46091</v>
      </c>
      <c r="K237" s="111" t="s">
        <v>608</v>
      </c>
      <c r="L237" s="112" t="s">
        <v>194</v>
      </c>
      <c r="M237" s="110" t="s">
        <v>609</v>
      </c>
      <c r="N237" s="113">
        <v>106000</v>
      </c>
      <c r="O237" s="113" t="s">
        <v>198</v>
      </c>
      <c r="P237" s="113" t="s">
        <v>192</v>
      </c>
      <c r="Q237" s="114">
        <f t="shared" si="170"/>
        <v>106000</v>
      </c>
      <c r="R237" s="115">
        <f>IF(P237="Si tiene IVA",Q237*19%,0)</f>
        <v>20140</v>
      </c>
      <c r="S237" s="115">
        <f t="shared" si="171"/>
        <v>126140</v>
      </c>
      <c r="T237" s="115">
        <f t="shared" si="172"/>
        <v>106000</v>
      </c>
      <c r="U237" s="115">
        <f t="shared" si="173"/>
        <v>126140</v>
      </c>
      <c r="V237" s="116" t="s">
        <v>187</v>
      </c>
      <c r="W237" s="117">
        <v>46091</v>
      </c>
      <c r="X237" s="118" t="s">
        <v>1024</v>
      </c>
      <c r="Y237" s="119" t="s">
        <v>194</v>
      </c>
      <c r="Z237" s="120" t="s">
        <v>1025</v>
      </c>
      <c r="AA237" s="121">
        <v>132000</v>
      </c>
      <c r="AB237" s="121" t="s">
        <v>191</v>
      </c>
      <c r="AC237" s="121" t="s">
        <v>192</v>
      </c>
      <c r="AD237" s="122">
        <f t="shared" si="174"/>
        <v>110924.36974789917</v>
      </c>
      <c r="AE237" s="123">
        <f>IF(AC237="Si tiene IVA",AD237*19%,0)</f>
        <v>21075.630252100844</v>
      </c>
      <c r="AF237" s="123">
        <f t="shared" si="175"/>
        <v>132000</v>
      </c>
      <c r="AG237" s="123">
        <f t="shared" si="176"/>
        <v>132000</v>
      </c>
      <c r="AH237" s="123">
        <f t="shared" si="177"/>
        <v>132000</v>
      </c>
      <c r="AI237" s="124" t="s">
        <v>187</v>
      </c>
      <c r="AJ237" s="125">
        <v>46091</v>
      </c>
      <c r="AK237" s="126" t="s">
        <v>1026</v>
      </c>
      <c r="AL237" s="127" t="s">
        <v>194</v>
      </c>
      <c r="AM237" s="128" t="s">
        <v>764</v>
      </c>
      <c r="AN237" s="129">
        <v>159900</v>
      </c>
      <c r="AO237" s="129" t="s">
        <v>191</v>
      </c>
      <c r="AP237" s="130" t="s">
        <v>192</v>
      </c>
      <c r="AQ237" s="131">
        <f>IF(AO237="IVA Incluido",(AN237/1.19),AN237)</f>
        <v>134369.74789915967</v>
      </c>
      <c r="AR237" s="132">
        <f>IF(AP237="Si tiene IVA",AQ237*19%,0)</f>
        <v>25530.252100840338</v>
      </c>
      <c r="AS237" s="132">
        <f t="shared" si="178"/>
        <v>159900</v>
      </c>
      <c r="AT237" s="132">
        <f t="shared" si="179"/>
        <v>159900</v>
      </c>
      <c r="AU237" s="132">
        <f t="shared" si="180"/>
        <v>159900</v>
      </c>
      <c r="AV237" s="133">
        <f t="shared" si="135"/>
        <v>139347</v>
      </c>
      <c r="AW237" s="133">
        <f t="shared" si="136"/>
        <v>139347</v>
      </c>
      <c r="AX237" s="133">
        <f t="shared" si="137"/>
        <v>18039</v>
      </c>
      <c r="AY237" s="134">
        <f t="shared" si="181"/>
        <v>0.12945380955456523</v>
      </c>
      <c r="AZ237" s="5"/>
      <c r="BA237" s="7">
        <f t="shared" si="182"/>
        <v>3</v>
      </c>
      <c r="BB237" s="7"/>
    </row>
    <row r="238" spans="1:54" ht="54">
      <c r="A238" s="105" t="s">
        <v>181</v>
      </c>
      <c r="B238" s="105" t="s">
        <v>259</v>
      </c>
      <c r="C238" s="105">
        <v>60121201</v>
      </c>
      <c r="D238" s="105" t="s">
        <v>1027</v>
      </c>
      <c r="E238" s="105" t="s">
        <v>1028</v>
      </c>
      <c r="F238" s="107" t="s">
        <v>185</v>
      </c>
      <c r="G238" s="108">
        <v>1</v>
      </c>
      <c r="H238" s="107" t="s">
        <v>186</v>
      </c>
      <c r="I238" s="109" t="s">
        <v>187</v>
      </c>
      <c r="J238" s="110">
        <v>46091</v>
      </c>
      <c r="K238" s="111" t="s">
        <v>1029</v>
      </c>
      <c r="L238" s="112" t="s">
        <v>194</v>
      </c>
      <c r="M238" s="110" t="s">
        <v>1030</v>
      </c>
      <c r="N238" s="113">
        <v>1316</v>
      </c>
      <c r="O238" s="113" t="s">
        <v>191</v>
      </c>
      <c r="P238" s="113" t="s">
        <v>192</v>
      </c>
      <c r="Q238" s="114">
        <f t="shared" si="170"/>
        <v>1105.8823529411766</v>
      </c>
      <c r="R238" s="115">
        <f>IF(P238="Si tiene IVA",Q238*19%,0)</f>
        <v>210.11764705882356</v>
      </c>
      <c r="S238" s="115">
        <f t="shared" si="171"/>
        <v>1316.0000000000002</v>
      </c>
      <c r="T238" s="115">
        <f t="shared" si="172"/>
        <v>1316</v>
      </c>
      <c r="U238" s="115">
        <f t="shared" si="173"/>
        <v>1316.0000000000002</v>
      </c>
      <c r="V238" s="116" t="s">
        <v>187</v>
      </c>
      <c r="W238" s="117">
        <v>46099</v>
      </c>
      <c r="X238" s="118" t="s">
        <v>1031</v>
      </c>
      <c r="Y238" s="119" t="s">
        <v>194</v>
      </c>
      <c r="Z238" s="120" t="s">
        <v>1032</v>
      </c>
      <c r="AA238" s="121">
        <v>1500</v>
      </c>
      <c r="AB238" s="121" t="s">
        <v>191</v>
      </c>
      <c r="AC238" s="121" t="s">
        <v>192</v>
      </c>
      <c r="AD238" s="122">
        <f t="shared" si="174"/>
        <v>1260.5042016806724</v>
      </c>
      <c r="AE238" s="123">
        <f>IF(AC238="Si tiene IVA",AD238*19%,0)</f>
        <v>239.49579831932775</v>
      </c>
      <c r="AF238" s="123">
        <f t="shared" si="175"/>
        <v>1500.0000000000002</v>
      </c>
      <c r="AG238" s="123">
        <f t="shared" si="176"/>
        <v>1500</v>
      </c>
      <c r="AH238" s="123">
        <f t="shared" si="177"/>
        <v>1500.0000000000002</v>
      </c>
      <c r="AI238" s="124" t="s">
        <v>187</v>
      </c>
      <c r="AJ238" s="125">
        <v>46099</v>
      </c>
      <c r="AK238" s="126" t="s">
        <v>1033</v>
      </c>
      <c r="AL238" s="127" t="s">
        <v>194</v>
      </c>
      <c r="AM238" s="128" t="s">
        <v>1034</v>
      </c>
      <c r="AN238" s="129">
        <v>1200</v>
      </c>
      <c r="AO238" s="129" t="s">
        <v>191</v>
      </c>
      <c r="AP238" s="130" t="s">
        <v>192</v>
      </c>
      <c r="AQ238" s="131">
        <f>IF(AO238="IVA Incluido",(AN238/1.19),AN238)</f>
        <v>1008.4033613445379</v>
      </c>
      <c r="AR238" s="132">
        <f>IF(AP238="Si tiene IVA",AQ238*19%,0)</f>
        <v>191.59663865546219</v>
      </c>
      <c r="AS238" s="132">
        <f t="shared" si="178"/>
        <v>1200</v>
      </c>
      <c r="AT238" s="132">
        <f t="shared" si="179"/>
        <v>1200</v>
      </c>
      <c r="AU238" s="132">
        <f t="shared" si="180"/>
        <v>1200</v>
      </c>
      <c r="AV238" s="133">
        <f t="shared" si="135"/>
        <v>1339</v>
      </c>
      <c r="AW238" s="133">
        <f t="shared" si="136"/>
        <v>1339</v>
      </c>
      <c r="AX238" s="133">
        <f t="shared" si="137"/>
        <v>151</v>
      </c>
      <c r="AY238" s="134">
        <f t="shared" si="181"/>
        <v>0.11277072442120986</v>
      </c>
      <c r="AZ238" s="5"/>
      <c r="BA238" s="7">
        <f t="shared" si="182"/>
        <v>3</v>
      </c>
      <c r="BB238" s="7"/>
    </row>
    <row r="239" spans="1:54" ht="67.5">
      <c r="A239" s="105" t="s">
        <v>181</v>
      </c>
      <c r="B239" s="105" t="s">
        <v>259</v>
      </c>
      <c r="C239" s="105">
        <v>60121201</v>
      </c>
      <c r="D239" s="105" t="s">
        <v>1035</v>
      </c>
      <c r="E239" s="105" t="s">
        <v>1036</v>
      </c>
      <c r="F239" s="107" t="s">
        <v>185</v>
      </c>
      <c r="G239" s="108">
        <v>1</v>
      </c>
      <c r="H239" s="107" t="s">
        <v>186</v>
      </c>
      <c r="I239" s="109" t="s">
        <v>187</v>
      </c>
      <c r="J239" s="110">
        <v>46091</v>
      </c>
      <c r="K239" s="111" t="s">
        <v>1037</v>
      </c>
      <c r="L239" s="112" t="s">
        <v>194</v>
      </c>
      <c r="M239" s="110" t="s">
        <v>1038</v>
      </c>
      <c r="N239" s="113">
        <v>3900</v>
      </c>
      <c r="O239" s="113" t="s">
        <v>191</v>
      </c>
      <c r="P239" s="113" t="s">
        <v>192</v>
      </c>
      <c r="Q239" s="114">
        <f t="shared" si="170"/>
        <v>3277.3109243697481</v>
      </c>
      <c r="R239" s="115">
        <f>IF(P239="Si tiene IVA",Q239*19%,0)</f>
        <v>622.6890756302522</v>
      </c>
      <c r="S239" s="115">
        <f t="shared" si="171"/>
        <v>3900.0000000000005</v>
      </c>
      <c r="T239" s="115">
        <f t="shared" si="172"/>
        <v>3900</v>
      </c>
      <c r="U239" s="115">
        <f t="shared" si="173"/>
        <v>3900.0000000000005</v>
      </c>
      <c r="V239" s="116" t="s">
        <v>187</v>
      </c>
      <c r="W239" s="117">
        <v>46091</v>
      </c>
      <c r="X239" s="118" t="s">
        <v>1039</v>
      </c>
      <c r="Y239" s="119" t="s">
        <v>194</v>
      </c>
      <c r="Z239" s="120" t="s">
        <v>905</v>
      </c>
      <c r="AA239" s="121">
        <v>3200</v>
      </c>
      <c r="AB239" s="121" t="s">
        <v>191</v>
      </c>
      <c r="AC239" s="121" t="s">
        <v>192</v>
      </c>
      <c r="AD239" s="122">
        <f t="shared" si="174"/>
        <v>2689.0756302521008</v>
      </c>
      <c r="AE239" s="123">
        <f>IF(AC239="Si tiene IVA",AD239*19%,0)</f>
        <v>510.92436974789916</v>
      </c>
      <c r="AF239" s="123">
        <f t="shared" si="175"/>
        <v>3200</v>
      </c>
      <c r="AG239" s="123">
        <f t="shared" si="176"/>
        <v>3200</v>
      </c>
      <c r="AH239" s="123">
        <f t="shared" si="177"/>
        <v>3200</v>
      </c>
      <c r="AI239" s="124" t="s">
        <v>187</v>
      </c>
      <c r="AJ239" s="125">
        <v>46091</v>
      </c>
      <c r="AK239" s="126" t="s">
        <v>747</v>
      </c>
      <c r="AL239" s="127" t="s">
        <v>194</v>
      </c>
      <c r="AM239" s="128" t="s">
        <v>748</v>
      </c>
      <c r="AN239" s="129">
        <v>3900</v>
      </c>
      <c r="AO239" s="129" t="s">
        <v>191</v>
      </c>
      <c r="AP239" s="130" t="s">
        <v>192</v>
      </c>
      <c r="AQ239" s="131">
        <f>IF(AO239="IVA Incluido",(AN239/1.19),AN239)</f>
        <v>3277.3109243697481</v>
      </c>
      <c r="AR239" s="132">
        <f>IF(AP239="Si tiene IVA",AQ239*19%,0)</f>
        <v>622.6890756302522</v>
      </c>
      <c r="AS239" s="132">
        <f t="shared" si="178"/>
        <v>3900.0000000000005</v>
      </c>
      <c r="AT239" s="132">
        <f t="shared" si="179"/>
        <v>3900</v>
      </c>
      <c r="AU239" s="132">
        <f t="shared" si="180"/>
        <v>3900.0000000000005</v>
      </c>
      <c r="AV239" s="133">
        <f t="shared" si="135"/>
        <v>3667</v>
      </c>
      <c r="AW239" s="133">
        <f t="shared" si="136"/>
        <v>3667</v>
      </c>
      <c r="AX239" s="133">
        <f t="shared" si="137"/>
        <v>404</v>
      </c>
      <c r="AY239" s="134">
        <f t="shared" si="181"/>
        <v>0.11017180256340332</v>
      </c>
      <c r="AZ239" s="5"/>
      <c r="BA239" s="7">
        <f t="shared" si="182"/>
        <v>3</v>
      </c>
      <c r="BB239" s="7"/>
    </row>
    <row r="240" spans="1:54" ht="409.5">
      <c r="A240" s="105" t="s">
        <v>181</v>
      </c>
      <c r="B240" s="105" t="s">
        <v>259</v>
      </c>
      <c r="C240" s="105">
        <v>44121618</v>
      </c>
      <c r="D240" s="105" t="s">
        <v>1040</v>
      </c>
      <c r="E240" s="105" t="s">
        <v>1041</v>
      </c>
      <c r="F240" s="107" t="s">
        <v>185</v>
      </c>
      <c r="G240" s="108">
        <v>1</v>
      </c>
      <c r="H240" s="107" t="s">
        <v>186</v>
      </c>
      <c r="I240" s="109" t="s">
        <v>200</v>
      </c>
      <c r="J240" s="110">
        <v>46105</v>
      </c>
      <c r="K240" s="111" t="s">
        <v>1042</v>
      </c>
      <c r="L240" s="112" t="s">
        <v>194</v>
      </c>
      <c r="M240" s="110" t="s">
        <v>1043</v>
      </c>
      <c r="N240" s="113">
        <v>6373</v>
      </c>
      <c r="O240" s="113" t="s">
        <v>191</v>
      </c>
      <c r="P240" s="113" t="s">
        <v>192</v>
      </c>
      <c r="Q240" s="114">
        <f t="shared" si="170"/>
        <v>5355.4621848739498</v>
      </c>
      <c r="R240" s="115">
        <f>IF(P240="Si tiene IVA",Q240*19%,0)</f>
        <v>1017.5378151260505</v>
      </c>
      <c r="S240" s="115">
        <f t="shared" si="171"/>
        <v>6373</v>
      </c>
      <c r="T240" s="115">
        <f t="shared" si="172"/>
        <v>6373</v>
      </c>
      <c r="U240" s="115">
        <f t="shared" si="173"/>
        <v>6373</v>
      </c>
      <c r="V240" s="116" t="s">
        <v>200</v>
      </c>
      <c r="W240" s="117">
        <v>46105</v>
      </c>
      <c r="X240" s="118" t="s">
        <v>1044</v>
      </c>
      <c r="Y240" s="119" t="s">
        <v>194</v>
      </c>
      <c r="Z240" s="120" t="s">
        <v>1045</v>
      </c>
      <c r="AA240" s="121">
        <v>6900</v>
      </c>
      <c r="AB240" s="121" t="s">
        <v>191</v>
      </c>
      <c r="AC240" s="121" t="s">
        <v>192</v>
      </c>
      <c r="AD240" s="122">
        <f t="shared" si="174"/>
        <v>5798.3193277310929</v>
      </c>
      <c r="AE240" s="123">
        <f>IF(AC240="Si tiene IVA",AD240*19%,0)</f>
        <v>1101.6806722689078</v>
      </c>
      <c r="AF240" s="123">
        <f t="shared" si="175"/>
        <v>6900.0000000000009</v>
      </c>
      <c r="AG240" s="123">
        <f t="shared" si="176"/>
        <v>6900</v>
      </c>
      <c r="AH240" s="123">
        <f t="shared" si="177"/>
        <v>6900.0000000000009</v>
      </c>
      <c r="AI240" s="124"/>
      <c r="AJ240" s="125"/>
      <c r="AK240" s="126"/>
      <c r="AL240" s="127"/>
      <c r="AM240" s="128"/>
      <c r="AN240" s="129"/>
      <c r="AO240" s="129"/>
      <c r="AP240" s="130"/>
      <c r="AQ240" s="131"/>
      <c r="AR240" s="132"/>
      <c r="AS240" s="132">
        <f t="shared" si="178"/>
        <v>0</v>
      </c>
      <c r="AT240" s="132">
        <f t="shared" si="179"/>
        <v>0</v>
      </c>
      <c r="AU240" s="132">
        <f t="shared" si="180"/>
        <v>0</v>
      </c>
      <c r="AV240" s="133">
        <f t="shared" si="135"/>
        <v>4424</v>
      </c>
      <c r="AW240" s="133">
        <f t="shared" si="136"/>
        <v>4424</v>
      </c>
      <c r="AX240" s="133">
        <f t="shared" si="137"/>
        <v>3841</v>
      </c>
      <c r="AY240" s="134">
        <f t="shared" si="181"/>
        <v>0.86821880650994576</v>
      </c>
      <c r="AZ240" s="5" t="s">
        <v>1046</v>
      </c>
      <c r="BA240" s="7">
        <f t="shared" si="182"/>
        <v>2</v>
      </c>
      <c r="BB240" s="7"/>
    </row>
    <row r="241" spans="1:54" ht="67.5">
      <c r="A241" s="105" t="s">
        <v>181</v>
      </c>
      <c r="B241" s="105" t="s">
        <v>259</v>
      </c>
      <c r="C241" s="105">
        <v>44121618</v>
      </c>
      <c r="D241" s="105" t="s">
        <v>1047</v>
      </c>
      <c r="E241" s="105" t="s">
        <v>1048</v>
      </c>
      <c r="F241" s="107" t="s">
        <v>185</v>
      </c>
      <c r="G241" s="108">
        <v>1</v>
      </c>
      <c r="H241" s="107" t="s">
        <v>186</v>
      </c>
      <c r="I241" s="109" t="s">
        <v>200</v>
      </c>
      <c r="J241" s="110">
        <v>46090</v>
      </c>
      <c r="K241" s="111" t="s">
        <v>1049</v>
      </c>
      <c r="L241" s="112" t="s">
        <v>194</v>
      </c>
      <c r="M241" s="110" t="s">
        <v>1050</v>
      </c>
      <c r="N241" s="113">
        <v>45900</v>
      </c>
      <c r="O241" s="113" t="s">
        <v>191</v>
      </c>
      <c r="P241" s="113" t="s">
        <v>192</v>
      </c>
      <c r="Q241" s="114">
        <f t="shared" si="170"/>
        <v>38571.428571428572</v>
      </c>
      <c r="R241" s="115">
        <v>7329</v>
      </c>
      <c r="S241" s="115">
        <f t="shared" si="171"/>
        <v>45900.428571428572</v>
      </c>
      <c r="T241" s="115">
        <f t="shared" si="172"/>
        <v>45900</v>
      </c>
      <c r="U241" s="115">
        <f t="shared" si="173"/>
        <v>45900.428571428572</v>
      </c>
      <c r="V241" s="116" t="s">
        <v>200</v>
      </c>
      <c r="W241" s="117">
        <v>46090</v>
      </c>
      <c r="X241" s="118" t="s">
        <v>1051</v>
      </c>
      <c r="Y241" s="119" t="s">
        <v>194</v>
      </c>
      <c r="Z241" s="120" t="s">
        <v>1052</v>
      </c>
      <c r="AA241" s="121">
        <v>54000</v>
      </c>
      <c r="AB241" s="121" t="s">
        <v>191</v>
      </c>
      <c r="AC241" s="121" t="s">
        <v>192</v>
      </c>
      <c r="AD241" s="122">
        <f t="shared" si="174"/>
        <v>45378.151260504201</v>
      </c>
      <c r="AE241" s="123">
        <v>8622</v>
      </c>
      <c r="AF241" s="123">
        <f t="shared" si="175"/>
        <v>54000.151260504201</v>
      </c>
      <c r="AG241" s="123">
        <f t="shared" si="176"/>
        <v>54000</v>
      </c>
      <c r="AH241" s="123">
        <f t="shared" si="177"/>
        <v>54000.151260504201</v>
      </c>
      <c r="AI241" s="124" t="s">
        <v>200</v>
      </c>
      <c r="AJ241" s="125">
        <v>46090</v>
      </c>
      <c r="AK241" s="126" t="s">
        <v>1053</v>
      </c>
      <c r="AL241" s="127" t="s">
        <v>194</v>
      </c>
      <c r="AM241" s="128" t="s">
        <v>1054</v>
      </c>
      <c r="AN241" s="129">
        <v>39418</v>
      </c>
      <c r="AO241" s="129" t="s">
        <v>191</v>
      </c>
      <c r="AP241" s="130" t="s">
        <v>192</v>
      </c>
      <c r="AQ241" s="131">
        <f t="shared" ref="AQ241:AQ247" si="183">IF(AO241="IVA Incluido",(AN241/1.19),AN241)</f>
        <v>33124.36974789916</v>
      </c>
      <c r="AR241" s="132">
        <v>6294</v>
      </c>
      <c r="AS241" s="132">
        <f t="shared" si="178"/>
        <v>39418.36974789916</v>
      </c>
      <c r="AT241" s="132">
        <f t="shared" si="179"/>
        <v>39418</v>
      </c>
      <c r="AU241" s="132">
        <f t="shared" si="180"/>
        <v>39418.36974789916</v>
      </c>
      <c r="AV241" s="133">
        <f t="shared" si="135"/>
        <v>46440</v>
      </c>
      <c r="AW241" s="133">
        <f t="shared" si="136"/>
        <v>46440</v>
      </c>
      <c r="AX241" s="133">
        <f t="shared" si="137"/>
        <v>7306</v>
      </c>
      <c r="AY241" s="134">
        <f t="shared" si="181"/>
        <v>0.15732127476313523</v>
      </c>
      <c r="AZ241" s="5"/>
      <c r="BA241" s="7">
        <f t="shared" si="182"/>
        <v>3</v>
      </c>
      <c r="BB241" s="7"/>
    </row>
    <row r="242" spans="1:54" ht="81">
      <c r="A242" s="105" t="s">
        <v>181</v>
      </c>
      <c r="B242" s="105" t="s">
        <v>259</v>
      </c>
      <c r="C242" s="105">
        <v>44121618</v>
      </c>
      <c r="D242" s="105" t="s">
        <v>1055</v>
      </c>
      <c r="E242" s="105" t="s">
        <v>1056</v>
      </c>
      <c r="F242" s="107" t="s">
        <v>185</v>
      </c>
      <c r="G242" s="108">
        <v>1</v>
      </c>
      <c r="H242" s="107" t="s">
        <v>186</v>
      </c>
      <c r="I242" s="109" t="s">
        <v>187</v>
      </c>
      <c r="J242" s="110">
        <v>46091</v>
      </c>
      <c r="K242" s="111" t="s">
        <v>1057</v>
      </c>
      <c r="L242" s="112" t="s">
        <v>194</v>
      </c>
      <c r="M242" s="110" t="s">
        <v>1058</v>
      </c>
      <c r="N242" s="113">
        <v>1500</v>
      </c>
      <c r="O242" s="113" t="s">
        <v>191</v>
      </c>
      <c r="P242" s="113" t="s">
        <v>192</v>
      </c>
      <c r="Q242" s="114">
        <f t="shared" si="170"/>
        <v>1260.5042016806724</v>
      </c>
      <c r="R242" s="115">
        <f>Q242*19%</f>
        <v>239.49579831932775</v>
      </c>
      <c r="S242" s="115">
        <f t="shared" si="171"/>
        <v>1500.0000000000002</v>
      </c>
      <c r="T242" s="115">
        <f t="shared" si="172"/>
        <v>1500</v>
      </c>
      <c r="U242" s="115">
        <f t="shared" si="173"/>
        <v>1500.0000000000002</v>
      </c>
      <c r="V242" s="116" t="s">
        <v>187</v>
      </c>
      <c r="W242" s="117">
        <v>46091</v>
      </c>
      <c r="X242" s="118" t="s">
        <v>1059</v>
      </c>
      <c r="Y242" s="119" t="s">
        <v>194</v>
      </c>
      <c r="Z242" s="120" t="s">
        <v>246</v>
      </c>
      <c r="AA242" s="121">
        <v>2000</v>
      </c>
      <c r="AB242" s="121" t="s">
        <v>191</v>
      </c>
      <c r="AC242" s="121" t="s">
        <v>192</v>
      </c>
      <c r="AD242" s="122">
        <f t="shared" si="174"/>
        <v>1680.6722689075632</v>
      </c>
      <c r="AE242" s="123">
        <f>AD242*19%</f>
        <v>319.32773109243703</v>
      </c>
      <c r="AF242" s="123">
        <f t="shared" si="175"/>
        <v>2000.0000000000002</v>
      </c>
      <c r="AG242" s="123">
        <f t="shared" si="176"/>
        <v>2000</v>
      </c>
      <c r="AH242" s="123">
        <f t="shared" si="177"/>
        <v>2000.0000000000002</v>
      </c>
      <c r="AI242" s="124" t="s">
        <v>187</v>
      </c>
      <c r="AJ242" s="125">
        <v>46091</v>
      </c>
      <c r="AK242" s="126" t="s">
        <v>1060</v>
      </c>
      <c r="AL242" s="127" t="s">
        <v>194</v>
      </c>
      <c r="AM242" s="128" t="s">
        <v>1038</v>
      </c>
      <c r="AN242" s="129">
        <v>1400</v>
      </c>
      <c r="AO242" s="129" t="s">
        <v>191</v>
      </c>
      <c r="AP242" s="130" t="s">
        <v>192</v>
      </c>
      <c r="AQ242" s="131">
        <f t="shared" si="183"/>
        <v>1176.4705882352941</v>
      </c>
      <c r="AR242" s="132">
        <f>AQ242*19%</f>
        <v>223.52941176470588</v>
      </c>
      <c r="AS242" s="132">
        <f t="shared" si="178"/>
        <v>1400</v>
      </c>
      <c r="AT242" s="132">
        <f t="shared" si="179"/>
        <v>1400</v>
      </c>
      <c r="AU242" s="132">
        <f t="shared" si="180"/>
        <v>1400</v>
      </c>
      <c r="AV242" s="133">
        <f t="shared" si="135"/>
        <v>1633</v>
      </c>
      <c r="AW242" s="133">
        <f t="shared" si="136"/>
        <v>1633</v>
      </c>
      <c r="AX242" s="133">
        <f t="shared" si="137"/>
        <v>321</v>
      </c>
      <c r="AY242" s="134">
        <f t="shared" si="181"/>
        <v>0.19657072872014697</v>
      </c>
      <c r="AZ242" s="5"/>
      <c r="BA242" s="7">
        <f t="shared" si="182"/>
        <v>3</v>
      </c>
      <c r="BB242" s="7"/>
    </row>
    <row r="243" spans="1:54" ht="67.5">
      <c r="A243" s="105" t="s">
        <v>181</v>
      </c>
      <c r="B243" s="105" t="s">
        <v>259</v>
      </c>
      <c r="C243" s="105"/>
      <c r="D243" s="105" t="s">
        <v>1061</v>
      </c>
      <c r="E243" s="105" t="s">
        <v>1062</v>
      </c>
      <c r="F243" s="107" t="s">
        <v>185</v>
      </c>
      <c r="G243" s="108">
        <v>1</v>
      </c>
      <c r="H243" s="107" t="s">
        <v>186</v>
      </c>
      <c r="I243" s="109" t="s">
        <v>200</v>
      </c>
      <c r="J243" s="110">
        <v>46090</v>
      </c>
      <c r="K243" s="111" t="s">
        <v>608</v>
      </c>
      <c r="L243" s="112" t="s">
        <v>189</v>
      </c>
      <c r="M243" s="110" t="s">
        <v>609</v>
      </c>
      <c r="N243" s="113">
        <v>3300</v>
      </c>
      <c r="O243" s="113" t="s">
        <v>191</v>
      </c>
      <c r="P243" s="113" t="s">
        <v>192</v>
      </c>
      <c r="Q243" s="114">
        <f t="shared" si="170"/>
        <v>2773.1092436974791</v>
      </c>
      <c r="R243" s="115">
        <f>Q243*19%</f>
        <v>526.89075630252103</v>
      </c>
      <c r="S243" s="115">
        <f t="shared" si="171"/>
        <v>3300</v>
      </c>
      <c r="T243" s="115">
        <f t="shared" si="172"/>
        <v>3300</v>
      </c>
      <c r="U243" s="115">
        <f t="shared" si="173"/>
        <v>3300</v>
      </c>
      <c r="V243" s="116" t="s">
        <v>200</v>
      </c>
      <c r="W243" s="117">
        <v>46090</v>
      </c>
      <c r="X243" s="118" t="s">
        <v>1063</v>
      </c>
      <c r="Y243" s="119" t="s">
        <v>194</v>
      </c>
      <c r="Z243" s="120" t="s">
        <v>1054</v>
      </c>
      <c r="AA243" s="121">
        <v>2827</v>
      </c>
      <c r="AB243" s="121" t="s">
        <v>191</v>
      </c>
      <c r="AC243" s="121" t="s">
        <v>191</v>
      </c>
      <c r="AD243" s="122">
        <f t="shared" si="174"/>
        <v>2375.6302521008406</v>
      </c>
      <c r="AE243" s="123">
        <f>AD243*19%</f>
        <v>451.36974789915973</v>
      </c>
      <c r="AF243" s="123">
        <f t="shared" si="175"/>
        <v>2827.0000000000005</v>
      </c>
      <c r="AG243" s="123">
        <f t="shared" si="176"/>
        <v>2827</v>
      </c>
      <c r="AH243" s="123">
        <f t="shared" si="177"/>
        <v>2827.0000000000005</v>
      </c>
      <c r="AI243" s="124" t="s">
        <v>200</v>
      </c>
      <c r="AJ243" s="125">
        <v>46090</v>
      </c>
      <c r="AK243" s="126" t="s">
        <v>1064</v>
      </c>
      <c r="AL243" s="127" t="s">
        <v>194</v>
      </c>
      <c r="AM243" s="128" t="s">
        <v>1065</v>
      </c>
      <c r="AN243" s="129">
        <v>3161</v>
      </c>
      <c r="AO243" s="129" t="s">
        <v>191</v>
      </c>
      <c r="AP243" s="130" t="s">
        <v>191</v>
      </c>
      <c r="AQ243" s="131">
        <f t="shared" si="183"/>
        <v>2656.3025210084033</v>
      </c>
      <c r="AR243" s="132">
        <f>AQ243*19%</f>
        <v>504.69747899159665</v>
      </c>
      <c r="AS243" s="132">
        <f t="shared" si="178"/>
        <v>3161</v>
      </c>
      <c r="AT243" s="132">
        <f t="shared" si="179"/>
        <v>3161</v>
      </c>
      <c r="AU243" s="132">
        <f t="shared" si="180"/>
        <v>3161</v>
      </c>
      <c r="AV243" s="133">
        <f t="shared" si="135"/>
        <v>3096</v>
      </c>
      <c r="AW243" s="133">
        <f t="shared" si="136"/>
        <v>3096</v>
      </c>
      <c r="AX243" s="133">
        <f t="shared" si="137"/>
        <v>243</v>
      </c>
      <c r="AY243" s="134">
        <f t="shared" si="181"/>
        <v>7.8488372093023256E-2</v>
      </c>
      <c r="AZ243" s="5"/>
      <c r="BA243" s="7">
        <f t="shared" si="182"/>
        <v>3</v>
      </c>
      <c r="BB243" s="7"/>
    </row>
    <row r="244" spans="1:54" ht="81">
      <c r="A244" s="105" t="s">
        <v>181</v>
      </c>
      <c r="B244" s="105" t="s">
        <v>259</v>
      </c>
      <c r="C244" s="105"/>
      <c r="D244" s="105" t="s">
        <v>1066</v>
      </c>
      <c r="E244" s="105" t="s">
        <v>1067</v>
      </c>
      <c r="F244" s="107" t="s">
        <v>185</v>
      </c>
      <c r="G244" s="108">
        <v>1</v>
      </c>
      <c r="H244" s="107" t="s">
        <v>186</v>
      </c>
      <c r="I244" s="109" t="s">
        <v>187</v>
      </c>
      <c r="J244" s="110">
        <v>46091</v>
      </c>
      <c r="K244" s="111" t="s">
        <v>1068</v>
      </c>
      <c r="L244" s="112" t="s">
        <v>194</v>
      </c>
      <c r="M244" s="110" t="s">
        <v>1069</v>
      </c>
      <c r="N244" s="113">
        <v>1000</v>
      </c>
      <c r="O244" s="113" t="s">
        <v>191</v>
      </c>
      <c r="P244" s="113" t="s">
        <v>192</v>
      </c>
      <c r="Q244" s="114">
        <f t="shared" si="170"/>
        <v>840.3361344537816</v>
      </c>
      <c r="R244" s="115">
        <f>Q244*19%</f>
        <v>159.66386554621852</v>
      </c>
      <c r="S244" s="115">
        <f t="shared" si="171"/>
        <v>1000.0000000000001</v>
      </c>
      <c r="T244" s="115">
        <f t="shared" si="172"/>
        <v>1000</v>
      </c>
      <c r="U244" s="115">
        <f t="shared" si="173"/>
        <v>1000.0000000000001</v>
      </c>
      <c r="V244" s="116" t="s">
        <v>187</v>
      </c>
      <c r="W244" s="117">
        <v>46091</v>
      </c>
      <c r="X244" s="118" t="s">
        <v>1070</v>
      </c>
      <c r="Y244" s="119" t="s">
        <v>194</v>
      </c>
      <c r="Z244" s="120" t="s">
        <v>1071</v>
      </c>
      <c r="AA244" s="121">
        <v>1200</v>
      </c>
      <c r="AB244" s="121" t="s">
        <v>191</v>
      </c>
      <c r="AC244" s="121" t="s">
        <v>192</v>
      </c>
      <c r="AD244" s="122">
        <f t="shared" si="174"/>
        <v>1008.4033613445379</v>
      </c>
      <c r="AE244" s="123">
        <f>AD244*19%</f>
        <v>191.59663865546219</v>
      </c>
      <c r="AF244" s="123">
        <f t="shared" si="175"/>
        <v>1200</v>
      </c>
      <c r="AG244" s="123">
        <f t="shared" si="176"/>
        <v>1200</v>
      </c>
      <c r="AH244" s="123">
        <f t="shared" si="177"/>
        <v>1200</v>
      </c>
      <c r="AI244" s="124" t="s">
        <v>187</v>
      </c>
      <c r="AJ244" s="125">
        <v>46091</v>
      </c>
      <c r="AK244" s="126" t="s">
        <v>1072</v>
      </c>
      <c r="AL244" s="127" t="s">
        <v>194</v>
      </c>
      <c r="AM244" s="128" t="s">
        <v>1073</v>
      </c>
      <c r="AN244" s="129">
        <v>1200</v>
      </c>
      <c r="AO244" s="129" t="s">
        <v>191</v>
      </c>
      <c r="AP244" s="130" t="s">
        <v>192</v>
      </c>
      <c r="AQ244" s="131">
        <f t="shared" si="183"/>
        <v>1008.4033613445379</v>
      </c>
      <c r="AR244" s="132">
        <f>AQ244*19%</f>
        <v>191.59663865546219</v>
      </c>
      <c r="AS244" s="132">
        <f t="shared" si="178"/>
        <v>1200</v>
      </c>
      <c r="AT244" s="132">
        <f t="shared" si="179"/>
        <v>1200</v>
      </c>
      <c r="AU244" s="132">
        <f t="shared" si="180"/>
        <v>1200</v>
      </c>
      <c r="AV244" s="133">
        <f t="shared" si="135"/>
        <v>1133</v>
      </c>
      <c r="AW244" s="133">
        <f t="shared" si="136"/>
        <v>1133</v>
      </c>
      <c r="AX244" s="133">
        <f t="shared" si="137"/>
        <v>115</v>
      </c>
      <c r="AY244" s="134">
        <f t="shared" si="181"/>
        <v>0.10150044130626655</v>
      </c>
      <c r="AZ244" s="5"/>
      <c r="BA244" s="7">
        <f t="shared" si="182"/>
        <v>3</v>
      </c>
      <c r="BB244" s="7"/>
    </row>
    <row r="245" spans="1:54" ht="94.5">
      <c r="A245" s="105" t="s">
        <v>181</v>
      </c>
      <c r="B245" s="105" t="s">
        <v>182</v>
      </c>
      <c r="C245" s="105">
        <v>53121602</v>
      </c>
      <c r="D245" s="105" t="s">
        <v>1074</v>
      </c>
      <c r="E245" s="105" t="s">
        <v>1075</v>
      </c>
      <c r="F245" s="107" t="s">
        <v>185</v>
      </c>
      <c r="G245" s="108">
        <v>1</v>
      </c>
      <c r="H245" s="107" t="s">
        <v>186</v>
      </c>
      <c r="I245" s="109" t="s">
        <v>234</v>
      </c>
      <c r="J245" s="110">
        <v>46070</v>
      </c>
      <c r="K245" s="111" t="s">
        <v>201</v>
      </c>
      <c r="L245" s="112" t="s">
        <v>194</v>
      </c>
      <c r="M245" s="110" t="s">
        <v>197</v>
      </c>
      <c r="N245" s="113">
        <v>17500</v>
      </c>
      <c r="O245" s="113" t="s">
        <v>198</v>
      </c>
      <c r="P245" s="113" t="s">
        <v>192</v>
      </c>
      <c r="Q245" s="114">
        <f t="shared" si="170"/>
        <v>17500</v>
      </c>
      <c r="R245" s="115">
        <f>IF(P245="Si tiene IVA",Q245*19%,0)</f>
        <v>3325</v>
      </c>
      <c r="S245" s="115">
        <f t="shared" si="171"/>
        <v>20825</v>
      </c>
      <c r="T245" s="115">
        <f t="shared" si="172"/>
        <v>17500</v>
      </c>
      <c r="U245" s="115">
        <f t="shared" si="173"/>
        <v>20825</v>
      </c>
      <c r="V245" s="116" t="s">
        <v>234</v>
      </c>
      <c r="W245" s="117">
        <v>46070</v>
      </c>
      <c r="X245" s="118" t="s">
        <v>223</v>
      </c>
      <c r="Y245" s="119" t="s">
        <v>194</v>
      </c>
      <c r="Z245" s="120" t="s">
        <v>548</v>
      </c>
      <c r="AA245" s="121">
        <v>20000</v>
      </c>
      <c r="AB245" s="121" t="s">
        <v>198</v>
      </c>
      <c r="AC245" s="121" t="s">
        <v>192</v>
      </c>
      <c r="AD245" s="122">
        <f t="shared" si="174"/>
        <v>20000</v>
      </c>
      <c r="AE245" s="123">
        <f>IF(AC245="Si tiene IVA",AD245*19%,0)</f>
        <v>3800</v>
      </c>
      <c r="AF245" s="123">
        <f t="shared" si="175"/>
        <v>23800</v>
      </c>
      <c r="AG245" s="123">
        <f t="shared" si="176"/>
        <v>20000</v>
      </c>
      <c r="AH245" s="123">
        <f t="shared" si="177"/>
        <v>23800</v>
      </c>
      <c r="AI245" s="124" t="s">
        <v>234</v>
      </c>
      <c r="AJ245" s="125">
        <v>46071</v>
      </c>
      <c r="AK245" s="126" t="s">
        <v>216</v>
      </c>
      <c r="AL245" s="127" t="s">
        <v>194</v>
      </c>
      <c r="AM245" s="128" t="s">
        <v>217</v>
      </c>
      <c r="AN245" s="129">
        <v>18000</v>
      </c>
      <c r="AO245" s="129" t="s">
        <v>198</v>
      </c>
      <c r="AP245" s="130" t="s">
        <v>218</v>
      </c>
      <c r="AQ245" s="131">
        <f t="shared" si="183"/>
        <v>18000</v>
      </c>
      <c r="AR245" s="132">
        <f>IF(AP245="Si tiene IVA",AQ245*19%,0)</f>
        <v>0</v>
      </c>
      <c r="AS245" s="132">
        <f t="shared" si="178"/>
        <v>18000</v>
      </c>
      <c r="AT245" s="132">
        <f t="shared" si="179"/>
        <v>18000</v>
      </c>
      <c r="AU245" s="132">
        <f t="shared" si="180"/>
        <v>18000</v>
      </c>
      <c r="AV245" s="133">
        <f t="shared" si="135"/>
        <v>20875</v>
      </c>
      <c r="AW245" s="133">
        <f t="shared" si="136"/>
        <v>20875</v>
      </c>
      <c r="AX245" s="133">
        <f t="shared" si="137"/>
        <v>2900</v>
      </c>
      <c r="AY245" s="134">
        <f t="shared" si="181"/>
        <v>0.13892215568862276</v>
      </c>
      <c r="AZ245" s="5"/>
      <c r="BA245" s="7">
        <f t="shared" si="182"/>
        <v>3</v>
      </c>
      <c r="BB245" s="7" t="s">
        <v>230</v>
      </c>
    </row>
    <row r="246" spans="1:54" ht="135">
      <c r="A246" s="105" t="s">
        <v>181</v>
      </c>
      <c r="B246" s="105" t="s">
        <v>182</v>
      </c>
      <c r="C246" s="105">
        <v>82101505</v>
      </c>
      <c r="D246" s="105" t="s">
        <v>1076</v>
      </c>
      <c r="E246" s="105" t="s">
        <v>1077</v>
      </c>
      <c r="F246" s="107" t="s">
        <v>1078</v>
      </c>
      <c r="G246" s="108">
        <v>100</v>
      </c>
      <c r="H246" s="107" t="s">
        <v>186</v>
      </c>
      <c r="I246" s="109" t="s">
        <v>200</v>
      </c>
      <c r="J246" s="110">
        <v>46147</v>
      </c>
      <c r="K246" s="111" t="s">
        <v>1079</v>
      </c>
      <c r="L246" s="112" t="s">
        <v>189</v>
      </c>
      <c r="M246" s="110" t="s">
        <v>1080</v>
      </c>
      <c r="N246" s="113">
        <v>110000</v>
      </c>
      <c r="O246" s="113" t="s">
        <v>191</v>
      </c>
      <c r="P246" s="113" t="s">
        <v>192</v>
      </c>
      <c r="Q246" s="114">
        <f t="shared" si="170"/>
        <v>92436.97478991597</v>
      </c>
      <c r="R246" s="115">
        <f>IF(P246="Si tiene IVA",Q246*19%,0)</f>
        <v>17563.025210084033</v>
      </c>
      <c r="S246" s="115">
        <f t="shared" si="171"/>
        <v>110000</v>
      </c>
      <c r="T246" s="115">
        <f t="shared" si="172"/>
        <v>11000000</v>
      </c>
      <c r="U246" s="115">
        <f t="shared" si="173"/>
        <v>11000000</v>
      </c>
      <c r="V246" s="116" t="s">
        <v>202</v>
      </c>
      <c r="W246" s="117">
        <v>46070</v>
      </c>
      <c r="X246" s="118" t="s">
        <v>235</v>
      </c>
      <c r="Y246" s="119" t="s">
        <v>189</v>
      </c>
      <c r="Z246" s="120" t="s">
        <v>212</v>
      </c>
      <c r="AA246" s="121">
        <v>120000</v>
      </c>
      <c r="AB246" s="121" t="s">
        <v>198</v>
      </c>
      <c r="AC246" s="121" t="s">
        <v>192</v>
      </c>
      <c r="AD246" s="122">
        <f t="shared" si="174"/>
        <v>120000</v>
      </c>
      <c r="AE246" s="123">
        <f>IF(AC246="Si tiene IVA",AD246*19%,0)</f>
        <v>22800</v>
      </c>
      <c r="AF246" s="123">
        <f t="shared" si="175"/>
        <v>142800</v>
      </c>
      <c r="AG246" s="123">
        <f t="shared" si="176"/>
        <v>12000000</v>
      </c>
      <c r="AH246" s="123">
        <f t="shared" si="177"/>
        <v>14280000</v>
      </c>
      <c r="AI246" s="124" t="s">
        <v>234</v>
      </c>
      <c r="AJ246" s="125">
        <v>46072</v>
      </c>
      <c r="AK246" s="126" t="s">
        <v>236</v>
      </c>
      <c r="AL246" s="127" t="s">
        <v>189</v>
      </c>
      <c r="AM246" s="128" t="s">
        <v>237</v>
      </c>
      <c r="AN246" s="129">
        <v>120000</v>
      </c>
      <c r="AO246" s="129" t="s">
        <v>198</v>
      </c>
      <c r="AP246" s="130" t="s">
        <v>218</v>
      </c>
      <c r="AQ246" s="131">
        <f t="shared" si="183"/>
        <v>120000</v>
      </c>
      <c r="AR246" s="132">
        <f>IF(AP246="Si tiene IVA",AQ246*19%,0)</f>
        <v>0</v>
      </c>
      <c r="AS246" s="132">
        <f t="shared" si="178"/>
        <v>120000</v>
      </c>
      <c r="AT246" s="132">
        <f t="shared" si="179"/>
        <v>12000000</v>
      </c>
      <c r="AU246" s="132">
        <f t="shared" si="180"/>
        <v>12000000</v>
      </c>
      <c r="AV246" s="133">
        <f t="shared" si="135"/>
        <v>124267</v>
      </c>
      <c r="AW246" s="133">
        <f t="shared" si="136"/>
        <v>12426700</v>
      </c>
      <c r="AX246" s="133">
        <f t="shared" si="137"/>
        <v>1681111</v>
      </c>
      <c r="AY246" s="134">
        <f t="shared" si="181"/>
        <v>0.13528217467227824</v>
      </c>
      <c r="AZ246" s="5" t="s">
        <v>1081</v>
      </c>
      <c r="BA246" s="7">
        <f t="shared" si="182"/>
        <v>3</v>
      </c>
      <c r="BB246" s="7" t="s">
        <v>230</v>
      </c>
    </row>
    <row r="247" spans="1:54" ht="60">
      <c r="A247" s="105" t="s">
        <v>181</v>
      </c>
      <c r="B247" s="105" t="s">
        <v>182</v>
      </c>
      <c r="C247" s="105">
        <v>82101505</v>
      </c>
      <c r="D247" s="105" t="s">
        <v>1082</v>
      </c>
      <c r="E247" s="105" t="s">
        <v>1077</v>
      </c>
      <c r="F247" s="107" t="s">
        <v>185</v>
      </c>
      <c r="G247" s="108">
        <v>1</v>
      </c>
      <c r="H247" s="107" t="s">
        <v>186</v>
      </c>
      <c r="I247" s="109" t="s">
        <v>1083</v>
      </c>
      <c r="J247" s="110">
        <v>46147</v>
      </c>
      <c r="K247" s="111" t="s">
        <v>193</v>
      </c>
      <c r="L247" s="112" t="s">
        <v>189</v>
      </c>
      <c r="M247" s="110" t="s">
        <v>205</v>
      </c>
      <c r="N247" s="113">
        <v>290000</v>
      </c>
      <c r="O247" s="113" t="s">
        <v>191</v>
      </c>
      <c r="P247" s="113" t="s">
        <v>192</v>
      </c>
      <c r="Q247" s="114">
        <f t="shared" si="170"/>
        <v>243697.47899159664</v>
      </c>
      <c r="R247" s="115">
        <f>IF(P247="Si tiene IVA",Q247*19%,0)</f>
        <v>46302.521008403361</v>
      </c>
      <c r="S247" s="115">
        <f t="shared" si="171"/>
        <v>290000</v>
      </c>
      <c r="T247" s="115">
        <f t="shared" si="172"/>
        <v>290000</v>
      </c>
      <c r="U247" s="115">
        <f t="shared" si="173"/>
        <v>290000</v>
      </c>
      <c r="V247" s="116" t="s">
        <v>202</v>
      </c>
      <c r="W247" s="117">
        <v>46147</v>
      </c>
      <c r="X247" s="118" t="s">
        <v>216</v>
      </c>
      <c r="Y247" s="119" t="s">
        <v>189</v>
      </c>
      <c r="Z247" s="120" t="s">
        <v>217</v>
      </c>
      <c r="AA247" s="121">
        <v>200000</v>
      </c>
      <c r="AB247" s="121" t="s">
        <v>198</v>
      </c>
      <c r="AC247" s="121" t="s">
        <v>218</v>
      </c>
      <c r="AD247" s="122">
        <f t="shared" si="174"/>
        <v>200000</v>
      </c>
      <c r="AE247" s="123">
        <f>IF(AC247="Si tiene IVA",AD247*19%,0)</f>
        <v>0</v>
      </c>
      <c r="AF247" s="123">
        <f t="shared" si="175"/>
        <v>200000</v>
      </c>
      <c r="AG247" s="123">
        <f t="shared" si="176"/>
        <v>200000</v>
      </c>
      <c r="AH247" s="123">
        <f t="shared" si="177"/>
        <v>200000</v>
      </c>
      <c r="AI247" s="124" t="s">
        <v>202</v>
      </c>
      <c r="AJ247" s="125">
        <v>46147</v>
      </c>
      <c r="AK247" s="126" t="s">
        <v>1084</v>
      </c>
      <c r="AL247" s="127" t="s">
        <v>189</v>
      </c>
      <c r="AM247" s="128" t="s">
        <v>229</v>
      </c>
      <c r="AN247" s="129">
        <v>240000</v>
      </c>
      <c r="AO247" s="129" t="s">
        <v>198</v>
      </c>
      <c r="AP247" s="130" t="s">
        <v>218</v>
      </c>
      <c r="AQ247" s="131">
        <f t="shared" si="183"/>
        <v>240000</v>
      </c>
      <c r="AR247" s="132">
        <f>IF(AP247="Si tiene IVA",AQ247*19%,0)</f>
        <v>0</v>
      </c>
      <c r="AS247" s="132">
        <f t="shared" si="178"/>
        <v>240000</v>
      </c>
      <c r="AT247" s="132">
        <f t="shared" si="179"/>
        <v>240000</v>
      </c>
      <c r="AU247" s="132">
        <f t="shared" si="180"/>
        <v>240000</v>
      </c>
      <c r="AV247" s="133">
        <f t="shared" si="135"/>
        <v>243333</v>
      </c>
      <c r="AW247" s="133">
        <f t="shared" si="136"/>
        <v>243333</v>
      </c>
      <c r="AX247" s="133">
        <f t="shared" si="137"/>
        <v>45092</v>
      </c>
      <c r="AY247" s="134">
        <f t="shared" si="181"/>
        <v>0.18530984289019575</v>
      </c>
      <c r="AZ247" s="5"/>
      <c r="BA247" s="7">
        <f t="shared" si="182"/>
        <v>3</v>
      </c>
      <c r="BB247" s="7" t="s">
        <v>238</v>
      </c>
    </row>
    <row r="248" spans="1:54" ht="54">
      <c r="A248" s="105" t="s">
        <v>1085</v>
      </c>
      <c r="B248" s="105" t="s">
        <v>1085</v>
      </c>
      <c r="C248" s="105"/>
      <c r="D248" s="105" t="s">
        <v>1086</v>
      </c>
      <c r="E248" s="105" t="s">
        <v>1087</v>
      </c>
      <c r="F248" s="107" t="s">
        <v>185</v>
      </c>
      <c r="G248" s="108">
        <v>750</v>
      </c>
      <c r="H248" s="107" t="s">
        <v>186</v>
      </c>
      <c r="I248" s="109" t="s">
        <v>187</v>
      </c>
      <c r="J248" s="110">
        <v>46167</v>
      </c>
      <c r="K248" s="111" t="s">
        <v>1088</v>
      </c>
      <c r="L248" s="112" t="s">
        <v>189</v>
      </c>
      <c r="M248" s="110" t="s">
        <v>1088</v>
      </c>
      <c r="N248" s="113">
        <v>5300</v>
      </c>
      <c r="O248" s="113" t="s">
        <v>198</v>
      </c>
      <c r="P248" s="113" t="s">
        <v>192</v>
      </c>
      <c r="Q248" s="114">
        <v>5300</v>
      </c>
      <c r="R248" s="115">
        <v>1007</v>
      </c>
      <c r="S248" s="115">
        <v>6307</v>
      </c>
      <c r="T248" s="115">
        <v>3975000</v>
      </c>
      <c r="U248" s="115">
        <v>4730250</v>
      </c>
      <c r="V248" s="116" t="s">
        <v>187</v>
      </c>
      <c r="W248" s="117">
        <v>46167</v>
      </c>
      <c r="X248" s="118" t="s">
        <v>1089</v>
      </c>
      <c r="Y248" s="119" t="s">
        <v>189</v>
      </c>
      <c r="Z248" s="120" t="s">
        <v>1089</v>
      </c>
      <c r="AA248" s="121">
        <v>5800</v>
      </c>
      <c r="AB248" s="121" t="s">
        <v>198</v>
      </c>
      <c r="AC248" s="121" t="s">
        <v>192</v>
      </c>
      <c r="AD248" s="122">
        <v>5800</v>
      </c>
      <c r="AE248" s="123">
        <v>1102</v>
      </c>
      <c r="AF248" s="123">
        <v>6902</v>
      </c>
      <c r="AG248" s="123">
        <v>4350000</v>
      </c>
      <c r="AH248" s="123">
        <v>5176500</v>
      </c>
      <c r="AI248" s="124" t="s">
        <v>187</v>
      </c>
      <c r="AJ248" s="125">
        <v>46167</v>
      </c>
      <c r="AK248" s="126" t="s">
        <v>1090</v>
      </c>
      <c r="AL248" s="127" t="s">
        <v>189</v>
      </c>
      <c r="AM248" s="128" t="s">
        <v>1090</v>
      </c>
      <c r="AN248" s="129">
        <v>6000</v>
      </c>
      <c r="AO248" s="129" t="s">
        <v>198</v>
      </c>
      <c r="AP248" s="130" t="s">
        <v>192</v>
      </c>
      <c r="AQ248" s="131">
        <v>6000</v>
      </c>
      <c r="AR248" s="132">
        <v>1140</v>
      </c>
      <c r="AS248" s="132">
        <v>7140</v>
      </c>
      <c r="AT248" s="132">
        <v>4500000</v>
      </c>
      <c r="AU248" s="132">
        <v>5355000</v>
      </c>
      <c r="AV248" s="133">
        <f t="shared" si="135"/>
        <v>6783</v>
      </c>
      <c r="AW248" s="133">
        <f t="shared" si="136"/>
        <v>5087250</v>
      </c>
      <c r="AX248" s="133">
        <f t="shared" si="137"/>
        <v>321795</v>
      </c>
      <c r="AY248" s="134">
        <v>8.7599999999999997E-2</v>
      </c>
      <c r="AZ248" s="5"/>
      <c r="BA248" s="7"/>
      <c r="BB248" s="7"/>
    </row>
    <row r="249" spans="1:54" ht="54">
      <c r="A249" s="105" t="s">
        <v>1085</v>
      </c>
      <c r="B249" s="105" t="s">
        <v>1085</v>
      </c>
      <c r="C249" s="105"/>
      <c r="D249" s="105" t="s">
        <v>1091</v>
      </c>
      <c r="E249" s="105" t="s">
        <v>1092</v>
      </c>
      <c r="F249" s="107" t="s">
        <v>185</v>
      </c>
      <c r="G249" s="108">
        <v>6</v>
      </c>
      <c r="H249" s="107" t="s">
        <v>186</v>
      </c>
      <c r="I249" s="109" t="s">
        <v>187</v>
      </c>
      <c r="J249" s="110">
        <v>46167</v>
      </c>
      <c r="K249" s="111" t="s">
        <v>1093</v>
      </c>
      <c r="L249" s="112" t="s">
        <v>189</v>
      </c>
      <c r="M249" s="110" t="s">
        <v>1094</v>
      </c>
      <c r="N249" s="113">
        <v>55000</v>
      </c>
      <c r="O249" s="113" t="s">
        <v>198</v>
      </c>
      <c r="P249" s="113" t="s">
        <v>218</v>
      </c>
      <c r="Q249" s="114">
        <v>55000</v>
      </c>
      <c r="R249" s="115" t="s">
        <v>1095</v>
      </c>
      <c r="S249" s="115">
        <v>55000</v>
      </c>
      <c r="T249" s="115">
        <v>330000</v>
      </c>
      <c r="U249" s="115">
        <v>330000</v>
      </c>
      <c r="V249" s="116" t="s">
        <v>187</v>
      </c>
      <c r="W249" s="117">
        <v>46167</v>
      </c>
      <c r="X249" s="118" t="s">
        <v>1090</v>
      </c>
      <c r="Y249" s="119" t="s">
        <v>189</v>
      </c>
      <c r="Z249" s="120" t="s">
        <v>1090</v>
      </c>
      <c r="AA249" s="121">
        <v>80000</v>
      </c>
      <c r="AB249" s="121" t="s">
        <v>198</v>
      </c>
      <c r="AC249" s="121" t="s">
        <v>192</v>
      </c>
      <c r="AD249" s="122">
        <v>80000</v>
      </c>
      <c r="AE249" s="123">
        <v>15200</v>
      </c>
      <c r="AF249" s="123">
        <v>95200</v>
      </c>
      <c r="AG249" s="123">
        <v>480000</v>
      </c>
      <c r="AH249" s="123">
        <v>571200</v>
      </c>
      <c r="AI249" s="124" t="s">
        <v>187</v>
      </c>
      <c r="AJ249" s="125">
        <v>46167</v>
      </c>
      <c r="AK249" s="126" t="s">
        <v>1096</v>
      </c>
      <c r="AL249" s="127" t="s">
        <v>189</v>
      </c>
      <c r="AM249" s="128" t="s">
        <v>1096</v>
      </c>
      <c r="AN249" s="129">
        <v>70000</v>
      </c>
      <c r="AO249" s="129" t="s">
        <v>191</v>
      </c>
      <c r="AP249" s="130" t="s">
        <v>192</v>
      </c>
      <c r="AQ249" s="131">
        <v>58823.53</v>
      </c>
      <c r="AR249" s="132">
        <v>11176</v>
      </c>
      <c r="AS249" s="132">
        <v>70000</v>
      </c>
      <c r="AT249" s="132">
        <v>352941</v>
      </c>
      <c r="AU249" s="132">
        <v>420000</v>
      </c>
      <c r="AV249" s="133">
        <f t="shared" si="135"/>
        <v>73400</v>
      </c>
      <c r="AW249" s="133">
        <f t="shared" si="136"/>
        <v>440400</v>
      </c>
      <c r="AX249" s="133">
        <f t="shared" si="137"/>
        <v>121887</v>
      </c>
      <c r="AY249" s="134">
        <v>0.16969999999999999</v>
      </c>
      <c r="AZ249" s="5"/>
      <c r="BA249" s="7"/>
      <c r="BB249" s="7"/>
    </row>
    <row r="250" spans="1:54" ht="67.5">
      <c r="A250" s="105" t="s">
        <v>1097</v>
      </c>
      <c r="B250" s="105" t="s">
        <v>1097</v>
      </c>
      <c r="C250" s="105"/>
      <c r="D250" s="105" t="s">
        <v>1098</v>
      </c>
      <c r="E250" s="105" t="s">
        <v>1099</v>
      </c>
      <c r="F250" s="107" t="s">
        <v>185</v>
      </c>
      <c r="G250" s="108">
        <v>180</v>
      </c>
      <c r="H250" s="107" t="s">
        <v>186</v>
      </c>
      <c r="I250" s="109" t="s">
        <v>187</v>
      </c>
      <c r="J250" s="110">
        <v>46142</v>
      </c>
      <c r="K250" s="111" t="s">
        <v>1100</v>
      </c>
      <c r="L250" s="112" t="s">
        <v>189</v>
      </c>
      <c r="M250" s="110" t="s">
        <v>1101</v>
      </c>
      <c r="N250" s="113">
        <v>38350</v>
      </c>
      <c r="O250" s="113" t="s">
        <v>191</v>
      </c>
      <c r="P250" s="113" t="s">
        <v>192</v>
      </c>
      <c r="Q250" s="114">
        <v>32226.89</v>
      </c>
      <c r="R250" s="115">
        <v>6123</v>
      </c>
      <c r="S250" s="115">
        <v>38350</v>
      </c>
      <c r="T250" s="115">
        <v>5800840</v>
      </c>
      <c r="U250" s="115">
        <v>6903000</v>
      </c>
      <c r="V250" s="116" t="s">
        <v>187</v>
      </c>
      <c r="W250" s="117">
        <v>46142</v>
      </c>
      <c r="X250" s="118" t="s">
        <v>1102</v>
      </c>
      <c r="Y250" s="119" t="s">
        <v>189</v>
      </c>
      <c r="Z250" s="120" t="s">
        <v>1103</v>
      </c>
      <c r="AA250" s="121">
        <v>36669</v>
      </c>
      <c r="AB250" s="121" t="s">
        <v>191</v>
      </c>
      <c r="AC250" s="121" t="s">
        <v>192</v>
      </c>
      <c r="AD250" s="122">
        <v>30814.29</v>
      </c>
      <c r="AE250" s="123">
        <v>5855</v>
      </c>
      <c r="AF250" s="123">
        <v>36669</v>
      </c>
      <c r="AG250" s="123">
        <v>5546571</v>
      </c>
      <c r="AH250" s="123">
        <v>6600420</v>
      </c>
      <c r="AI250" s="124" t="s">
        <v>187</v>
      </c>
      <c r="AJ250" s="125">
        <v>46142</v>
      </c>
      <c r="AK250" s="126" t="s">
        <v>1104</v>
      </c>
      <c r="AL250" s="127" t="s">
        <v>189</v>
      </c>
      <c r="AM250" s="128" t="s">
        <v>1105</v>
      </c>
      <c r="AN250" s="129">
        <v>32000</v>
      </c>
      <c r="AO250" s="129" t="s">
        <v>191</v>
      </c>
      <c r="AP250" s="130" t="s">
        <v>192</v>
      </c>
      <c r="AQ250" s="131">
        <v>26890.76</v>
      </c>
      <c r="AR250" s="132">
        <v>5109</v>
      </c>
      <c r="AS250" s="132">
        <v>32000</v>
      </c>
      <c r="AT250" s="132">
        <v>4840336</v>
      </c>
      <c r="AU250" s="132">
        <v>5760000</v>
      </c>
      <c r="AV250" s="133">
        <f t="shared" si="135"/>
        <v>35673</v>
      </c>
      <c r="AW250" s="133">
        <f t="shared" si="136"/>
        <v>6421140</v>
      </c>
      <c r="AX250" s="133">
        <f t="shared" si="137"/>
        <v>592215</v>
      </c>
      <c r="AY250" s="134">
        <v>9.2200000000000004E-2</v>
      </c>
      <c r="AZ250" s="5"/>
      <c r="BA250" s="7"/>
      <c r="BB250" s="7"/>
    </row>
    <row r="251" spans="1:54" ht="40.5">
      <c r="A251" s="105" t="s">
        <v>1097</v>
      </c>
      <c r="B251" s="105" t="s">
        <v>1097</v>
      </c>
      <c r="C251" s="105"/>
      <c r="D251" s="105" t="s">
        <v>1106</v>
      </c>
      <c r="E251" s="105" t="s">
        <v>1107</v>
      </c>
      <c r="F251" s="107" t="s">
        <v>185</v>
      </c>
      <c r="G251" s="108">
        <v>180</v>
      </c>
      <c r="H251" s="107" t="s">
        <v>186</v>
      </c>
      <c r="I251" s="109" t="s">
        <v>187</v>
      </c>
      <c r="J251" s="110">
        <v>46136</v>
      </c>
      <c r="K251" s="111" t="s">
        <v>1108</v>
      </c>
      <c r="L251" s="112" t="s">
        <v>189</v>
      </c>
      <c r="M251" s="110" t="s">
        <v>1109</v>
      </c>
      <c r="N251" s="113">
        <v>16500</v>
      </c>
      <c r="O251" s="113" t="s">
        <v>198</v>
      </c>
      <c r="P251" s="113" t="s">
        <v>192</v>
      </c>
      <c r="Q251" s="114">
        <v>16500</v>
      </c>
      <c r="R251" s="115">
        <v>3135</v>
      </c>
      <c r="S251" s="115">
        <v>19635</v>
      </c>
      <c r="T251" s="115">
        <v>2970000</v>
      </c>
      <c r="U251" s="115">
        <v>3534300</v>
      </c>
      <c r="V251" s="116" t="s">
        <v>187</v>
      </c>
      <c r="W251" s="117">
        <v>46150</v>
      </c>
      <c r="X251" s="118" t="s">
        <v>1110</v>
      </c>
      <c r="Y251" s="119" t="s">
        <v>194</v>
      </c>
      <c r="Z251" s="120" t="s">
        <v>1111</v>
      </c>
      <c r="AA251" s="121">
        <v>19900</v>
      </c>
      <c r="AB251" s="121" t="s">
        <v>198</v>
      </c>
      <c r="AC251" s="121" t="s">
        <v>192</v>
      </c>
      <c r="AD251" s="122">
        <v>19900</v>
      </c>
      <c r="AE251" s="123">
        <v>3781</v>
      </c>
      <c r="AF251" s="123">
        <v>23681</v>
      </c>
      <c r="AG251" s="123">
        <v>3582000</v>
      </c>
      <c r="AH251" s="123">
        <v>4262580</v>
      </c>
      <c r="AI251" s="124" t="s">
        <v>187</v>
      </c>
      <c r="AJ251" s="125">
        <v>46139</v>
      </c>
      <c r="AK251" s="126" t="s">
        <v>1112</v>
      </c>
      <c r="AL251" s="127" t="s">
        <v>189</v>
      </c>
      <c r="AM251" s="128" t="s">
        <v>1113</v>
      </c>
      <c r="AN251" s="129">
        <v>16500</v>
      </c>
      <c r="AO251" s="129" t="s">
        <v>198</v>
      </c>
      <c r="AP251" s="130" t="s">
        <v>192</v>
      </c>
      <c r="AQ251" s="131">
        <v>16500</v>
      </c>
      <c r="AR251" s="132">
        <v>3135</v>
      </c>
      <c r="AS251" s="132">
        <v>19635</v>
      </c>
      <c r="AT251" s="132">
        <v>2970000</v>
      </c>
      <c r="AU251" s="132">
        <v>3534300</v>
      </c>
      <c r="AV251" s="133">
        <f t="shared" si="135"/>
        <v>20984</v>
      </c>
      <c r="AW251" s="133">
        <f t="shared" si="136"/>
        <v>3777120</v>
      </c>
      <c r="AX251" s="133">
        <f t="shared" si="137"/>
        <v>420473</v>
      </c>
      <c r="AY251" s="134">
        <v>0.1113</v>
      </c>
      <c r="AZ251" s="5"/>
      <c r="BA251" s="7"/>
      <c r="BB251" s="7"/>
    </row>
    <row r="252" spans="1:54" ht="54">
      <c r="A252" s="105" t="s">
        <v>1097</v>
      </c>
      <c r="B252" s="105" t="s">
        <v>1097</v>
      </c>
      <c r="C252" s="105"/>
      <c r="D252" s="105" t="s">
        <v>1114</v>
      </c>
      <c r="E252" s="105" t="s">
        <v>1115</v>
      </c>
      <c r="F252" s="107" t="s">
        <v>270</v>
      </c>
      <c r="G252" s="108">
        <v>1</v>
      </c>
      <c r="H252" s="107" t="s">
        <v>1116</v>
      </c>
      <c r="I252" s="109" t="s">
        <v>187</v>
      </c>
      <c r="J252" s="110">
        <v>46142</v>
      </c>
      <c r="K252" s="111" t="s">
        <v>1117</v>
      </c>
      <c r="L252" s="112" t="s">
        <v>189</v>
      </c>
      <c r="M252" s="110" t="s">
        <v>1118</v>
      </c>
      <c r="N252" s="113">
        <v>1067200</v>
      </c>
      <c r="O252" s="113" t="s">
        <v>198</v>
      </c>
      <c r="P252" s="113" t="s">
        <v>218</v>
      </c>
      <c r="Q252" s="114">
        <v>1067200</v>
      </c>
      <c r="R252" s="115" t="s">
        <v>1095</v>
      </c>
      <c r="S252" s="115">
        <v>1067200</v>
      </c>
      <c r="T252" s="115">
        <v>1067200</v>
      </c>
      <c r="U252" s="115">
        <v>1067200</v>
      </c>
      <c r="V252" s="116" t="s">
        <v>187</v>
      </c>
      <c r="W252" s="117">
        <v>46142</v>
      </c>
      <c r="X252" s="118" t="s">
        <v>1119</v>
      </c>
      <c r="Y252" s="119" t="s">
        <v>189</v>
      </c>
      <c r="Z252" s="120" t="s">
        <v>1120</v>
      </c>
      <c r="AA252" s="121">
        <v>1047200</v>
      </c>
      <c r="AB252" s="121" t="s">
        <v>198</v>
      </c>
      <c r="AC252" s="121" t="s">
        <v>218</v>
      </c>
      <c r="AD252" s="122">
        <v>1047200</v>
      </c>
      <c r="AE252" s="123" t="s">
        <v>1095</v>
      </c>
      <c r="AF252" s="123">
        <v>1047200</v>
      </c>
      <c r="AG252" s="123">
        <v>1047200</v>
      </c>
      <c r="AH252" s="123">
        <v>1047200</v>
      </c>
      <c r="AI252" s="124" t="s">
        <v>187</v>
      </c>
      <c r="AJ252" s="125">
        <v>46142</v>
      </c>
      <c r="AK252" s="126" t="s">
        <v>1119</v>
      </c>
      <c r="AL252" s="127" t="s">
        <v>189</v>
      </c>
      <c r="AM252" s="128" t="s">
        <v>1121</v>
      </c>
      <c r="AN252" s="129">
        <v>1057200</v>
      </c>
      <c r="AO252" s="129" t="s">
        <v>198</v>
      </c>
      <c r="AP252" s="130" t="s">
        <v>218</v>
      </c>
      <c r="AQ252" s="131">
        <v>1057200</v>
      </c>
      <c r="AR252" s="132" t="s">
        <v>1095</v>
      </c>
      <c r="AS252" s="132">
        <v>1057200</v>
      </c>
      <c r="AT252" s="132">
        <v>1057200</v>
      </c>
      <c r="AU252" s="132">
        <v>1057200</v>
      </c>
      <c r="AV252" s="133">
        <f t="shared" si="135"/>
        <v>1057200</v>
      </c>
      <c r="AW252" s="133">
        <f t="shared" si="136"/>
        <v>1057200</v>
      </c>
      <c r="AX252" s="133">
        <f t="shared" si="137"/>
        <v>10000</v>
      </c>
      <c r="AY252" s="134">
        <v>9.4999999999999998E-3</v>
      </c>
      <c r="AZ252" s="5"/>
      <c r="BA252" s="7"/>
      <c r="BB252" s="7"/>
    </row>
    <row r="253" spans="1:54" ht="67.5">
      <c r="A253" s="105" t="s">
        <v>1097</v>
      </c>
      <c r="B253" s="105" t="s">
        <v>1097</v>
      </c>
      <c r="C253" s="105"/>
      <c r="D253" s="105" t="s">
        <v>1122</v>
      </c>
      <c r="E253" s="105" t="s">
        <v>1123</v>
      </c>
      <c r="F253" s="107" t="s">
        <v>185</v>
      </c>
      <c r="G253" s="108">
        <v>180</v>
      </c>
      <c r="H253" s="107" t="s">
        <v>186</v>
      </c>
      <c r="I253" s="109" t="s">
        <v>187</v>
      </c>
      <c r="J253" s="110">
        <v>46136</v>
      </c>
      <c r="K253" s="111" t="s">
        <v>1108</v>
      </c>
      <c r="L253" s="112" t="s">
        <v>189</v>
      </c>
      <c r="M253" s="110" t="s">
        <v>1109</v>
      </c>
      <c r="N253" s="113">
        <v>3300</v>
      </c>
      <c r="O253" s="113" t="s">
        <v>198</v>
      </c>
      <c r="P253" s="113" t="s">
        <v>192</v>
      </c>
      <c r="Q253" s="114">
        <v>3300</v>
      </c>
      <c r="R253" s="115">
        <v>627</v>
      </c>
      <c r="S253" s="115">
        <v>3927</v>
      </c>
      <c r="T253" s="115">
        <v>594000</v>
      </c>
      <c r="U253" s="115">
        <v>706860</v>
      </c>
      <c r="V253" s="116" t="s">
        <v>187</v>
      </c>
      <c r="W253" s="117">
        <v>46150</v>
      </c>
      <c r="X253" s="118" t="s">
        <v>1124</v>
      </c>
      <c r="Y253" s="119" t="s">
        <v>194</v>
      </c>
      <c r="Z253" s="120" t="s">
        <v>1125</v>
      </c>
      <c r="AA253" s="121">
        <v>4670</v>
      </c>
      <c r="AB253" s="121" t="s">
        <v>198</v>
      </c>
      <c r="AC253" s="121" t="s">
        <v>192</v>
      </c>
      <c r="AD253" s="122">
        <v>4670</v>
      </c>
      <c r="AE253" s="123">
        <v>887</v>
      </c>
      <c r="AF253" s="123">
        <v>5557</v>
      </c>
      <c r="AG253" s="123">
        <v>840600</v>
      </c>
      <c r="AH253" s="123">
        <v>1000314</v>
      </c>
      <c r="AI253" s="124" t="s">
        <v>187</v>
      </c>
      <c r="AJ253" s="125">
        <v>46139</v>
      </c>
      <c r="AK253" s="126" t="s">
        <v>1112</v>
      </c>
      <c r="AL253" s="127" t="s">
        <v>189</v>
      </c>
      <c r="AM253" s="128" t="s">
        <v>1113</v>
      </c>
      <c r="AN253" s="129">
        <v>3300</v>
      </c>
      <c r="AO253" s="129" t="s">
        <v>198</v>
      </c>
      <c r="AP253" s="130" t="s">
        <v>192</v>
      </c>
      <c r="AQ253" s="131">
        <v>3300</v>
      </c>
      <c r="AR253" s="132">
        <v>627</v>
      </c>
      <c r="AS253" s="132">
        <v>3927</v>
      </c>
      <c r="AT253" s="132">
        <v>594000</v>
      </c>
      <c r="AU253" s="132">
        <v>706860</v>
      </c>
      <c r="AV253" s="133">
        <f t="shared" si="135"/>
        <v>4470</v>
      </c>
      <c r="AW253" s="133">
        <f t="shared" si="136"/>
        <v>804600</v>
      </c>
      <c r="AX253" s="133">
        <f t="shared" si="137"/>
        <v>169426</v>
      </c>
      <c r="AY253" s="134">
        <v>0.21060000000000001</v>
      </c>
      <c r="AZ253" s="5"/>
      <c r="BA253" s="7"/>
      <c r="BB253" s="7"/>
    </row>
    <row r="254" spans="1:54" ht="40.5">
      <c r="A254" s="105" t="s">
        <v>1097</v>
      </c>
      <c r="B254" s="105" t="s">
        <v>1097</v>
      </c>
      <c r="C254" s="105"/>
      <c r="D254" s="105" t="s">
        <v>1126</v>
      </c>
      <c r="E254" s="105" t="s">
        <v>1127</v>
      </c>
      <c r="F254" s="107" t="s">
        <v>270</v>
      </c>
      <c r="G254" s="108">
        <v>1</v>
      </c>
      <c r="H254" s="107" t="s">
        <v>1116</v>
      </c>
      <c r="I254" s="109" t="s">
        <v>187</v>
      </c>
      <c r="J254" s="110">
        <v>46142</v>
      </c>
      <c r="K254" s="111" t="s">
        <v>1117</v>
      </c>
      <c r="L254" s="112" t="s">
        <v>189</v>
      </c>
      <c r="M254" s="110" t="s">
        <v>1118</v>
      </c>
      <c r="N254" s="113">
        <v>805400</v>
      </c>
      <c r="O254" s="113" t="s">
        <v>198</v>
      </c>
      <c r="P254" s="113" t="s">
        <v>218</v>
      </c>
      <c r="Q254" s="114">
        <v>805400</v>
      </c>
      <c r="R254" s="115" t="s">
        <v>1095</v>
      </c>
      <c r="S254" s="115">
        <v>805400</v>
      </c>
      <c r="T254" s="115">
        <v>805400</v>
      </c>
      <c r="U254" s="115">
        <v>805400</v>
      </c>
      <c r="V254" s="116" t="s">
        <v>187</v>
      </c>
      <c r="W254" s="117">
        <v>46142</v>
      </c>
      <c r="X254" s="118" t="s">
        <v>1119</v>
      </c>
      <c r="Y254" s="119" t="s">
        <v>189</v>
      </c>
      <c r="Z254" s="120" t="s">
        <v>1120</v>
      </c>
      <c r="AA254" s="121">
        <v>785400</v>
      </c>
      <c r="AB254" s="121" t="s">
        <v>198</v>
      </c>
      <c r="AC254" s="121" t="s">
        <v>218</v>
      </c>
      <c r="AD254" s="122">
        <v>785400</v>
      </c>
      <c r="AE254" s="123" t="s">
        <v>1095</v>
      </c>
      <c r="AF254" s="123">
        <v>785400</v>
      </c>
      <c r="AG254" s="123">
        <v>785400</v>
      </c>
      <c r="AH254" s="123">
        <v>785400</v>
      </c>
      <c r="AI254" s="124" t="s">
        <v>187</v>
      </c>
      <c r="AJ254" s="125">
        <v>46142</v>
      </c>
      <c r="AK254" s="126" t="s">
        <v>1128</v>
      </c>
      <c r="AL254" s="127" t="s">
        <v>189</v>
      </c>
      <c r="AM254" s="128" t="s">
        <v>1121</v>
      </c>
      <c r="AN254" s="129">
        <v>795400</v>
      </c>
      <c r="AO254" s="129" t="s">
        <v>198</v>
      </c>
      <c r="AP254" s="130" t="s">
        <v>218</v>
      </c>
      <c r="AQ254" s="131">
        <v>795400</v>
      </c>
      <c r="AR254" s="132" t="s">
        <v>1095</v>
      </c>
      <c r="AS254" s="132">
        <v>795400</v>
      </c>
      <c r="AT254" s="132">
        <v>795400</v>
      </c>
      <c r="AU254" s="132">
        <v>795400</v>
      </c>
      <c r="AV254" s="133">
        <f t="shared" si="135"/>
        <v>795400</v>
      </c>
      <c r="AW254" s="133">
        <f t="shared" si="136"/>
        <v>795400</v>
      </c>
      <c r="AX254" s="133">
        <f t="shared" si="137"/>
        <v>10000</v>
      </c>
      <c r="AY254" s="134">
        <v>1.26E-2</v>
      </c>
      <c r="AZ254" s="5"/>
      <c r="BA254" s="7"/>
      <c r="BB254" s="7"/>
    </row>
    <row r="255" spans="1:54" ht="54">
      <c r="A255" s="105" t="s">
        <v>1097</v>
      </c>
      <c r="B255" s="105" t="s">
        <v>1097</v>
      </c>
      <c r="C255" s="105"/>
      <c r="D255" s="105" t="s">
        <v>1129</v>
      </c>
      <c r="E255" s="105" t="s">
        <v>1130</v>
      </c>
      <c r="F255" s="107" t="s">
        <v>185</v>
      </c>
      <c r="G255" s="108">
        <v>40</v>
      </c>
      <c r="H255" s="107" t="s">
        <v>288</v>
      </c>
      <c r="I255" s="109" t="s">
        <v>187</v>
      </c>
      <c r="J255" s="110">
        <v>46136</v>
      </c>
      <c r="K255" s="111" t="s">
        <v>1108</v>
      </c>
      <c r="L255" s="112" t="s">
        <v>189</v>
      </c>
      <c r="M255" s="110" t="s">
        <v>1109</v>
      </c>
      <c r="N255" s="113">
        <v>5500</v>
      </c>
      <c r="O255" s="113" t="s">
        <v>198</v>
      </c>
      <c r="P255" s="113" t="s">
        <v>192</v>
      </c>
      <c r="Q255" s="114">
        <v>5500</v>
      </c>
      <c r="R255" s="115">
        <v>1045</v>
      </c>
      <c r="S255" s="115">
        <v>6545</v>
      </c>
      <c r="T255" s="115">
        <v>220000</v>
      </c>
      <c r="U255" s="115">
        <v>261800</v>
      </c>
      <c r="V255" s="116" t="s">
        <v>187</v>
      </c>
      <c r="W255" s="117">
        <v>46153</v>
      </c>
      <c r="X255" s="118" t="s">
        <v>1131</v>
      </c>
      <c r="Y255" s="119" t="s">
        <v>189</v>
      </c>
      <c r="Z255" s="120" t="s">
        <v>1132</v>
      </c>
      <c r="AA255" s="121">
        <v>4463.9799999999996</v>
      </c>
      <c r="AB255" s="121" t="s">
        <v>198</v>
      </c>
      <c r="AC255" s="121" t="s">
        <v>192</v>
      </c>
      <c r="AD255" s="122">
        <v>4463.9799999999996</v>
      </c>
      <c r="AE255" s="123">
        <v>848</v>
      </c>
      <c r="AF255" s="123">
        <v>4464</v>
      </c>
      <c r="AG255" s="123">
        <v>178559</v>
      </c>
      <c r="AH255" s="123">
        <v>178559</v>
      </c>
      <c r="AI255" s="124" t="s">
        <v>187</v>
      </c>
      <c r="AJ255" s="125">
        <v>46139</v>
      </c>
      <c r="AK255" s="126" t="s">
        <v>1112</v>
      </c>
      <c r="AL255" s="127" t="s">
        <v>189</v>
      </c>
      <c r="AM255" s="128" t="s">
        <v>1113</v>
      </c>
      <c r="AN255" s="129">
        <v>5500</v>
      </c>
      <c r="AO255" s="129" t="s">
        <v>198</v>
      </c>
      <c r="AP255" s="130" t="s">
        <v>192</v>
      </c>
      <c r="AQ255" s="131">
        <v>5500</v>
      </c>
      <c r="AR255" s="132">
        <v>1045</v>
      </c>
      <c r="AS255" s="132">
        <v>6545</v>
      </c>
      <c r="AT255" s="132">
        <v>220000</v>
      </c>
      <c r="AU255" s="132">
        <v>261800</v>
      </c>
      <c r="AV255" s="133">
        <f t="shared" si="135"/>
        <v>5851</v>
      </c>
      <c r="AW255" s="133">
        <f t="shared" si="136"/>
        <v>234040</v>
      </c>
      <c r="AX255" s="133">
        <f t="shared" si="137"/>
        <v>48059</v>
      </c>
      <c r="AY255" s="134">
        <v>0.20530000000000001</v>
      </c>
      <c r="AZ255" s="5"/>
      <c r="BA255" s="7"/>
      <c r="BB255" s="7"/>
    </row>
    <row r="256" spans="1:54" ht="81">
      <c r="A256" s="105" t="s">
        <v>1133</v>
      </c>
      <c r="B256" s="105" t="s">
        <v>1133</v>
      </c>
      <c r="C256" s="105"/>
      <c r="D256" s="105" t="s">
        <v>1134</v>
      </c>
      <c r="E256" s="105" t="s">
        <v>1135</v>
      </c>
      <c r="F256" s="107" t="s">
        <v>185</v>
      </c>
      <c r="G256" s="108">
        <v>35</v>
      </c>
      <c r="H256" s="107" t="s">
        <v>186</v>
      </c>
      <c r="I256" s="109" t="s">
        <v>1136</v>
      </c>
      <c r="J256" s="110">
        <v>46156</v>
      </c>
      <c r="K256" s="111" t="s">
        <v>1137</v>
      </c>
      <c r="L256" s="112" t="s">
        <v>189</v>
      </c>
      <c r="M256" s="110" t="s">
        <v>1138</v>
      </c>
      <c r="N256" s="113">
        <v>92500</v>
      </c>
      <c r="O256" s="113" t="s">
        <v>198</v>
      </c>
      <c r="P256" s="113" t="s">
        <v>192</v>
      </c>
      <c r="Q256" s="114">
        <v>92500</v>
      </c>
      <c r="R256" s="115">
        <v>17575</v>
      </c>
      <c r="S256" s="115">
        <v>110075</v>
      </c>
      <c r="T256" s="115">
        <v>3237500</v>
      </c>
      <c r="U256" s="115">
        <v>3852625</v>
      </c>
      <c r="V256" s="116" t="s">
        <v>1136</v>
      </c>
      <c r="W256" s="117">
        <v>46156</v>
      </c>
      <c r="X256" s="118" t="s">
        <v>1139</v>
      </c>
      <c r="Y256" s="119" t="s">
        <v>189</v>
      </c>
      <c r="Z256" s="120" t="s">
        <v>1140</v>
      </c>
      <c r="AA256" s="121">
        <v>93000</v>
      </c>
      <c r="AB256" s="121" t="s">
        <v>198</v>
      </c>
      <c r="AC256" s="121" t="s">
        <v>192</v>
      </c>
      <c r="AD256" s="122">
        <v>93000</v>
      </c>
      <c r="AE256" s="123">
        <v>17670</v>
      </c>
      <c r="AF256" s="123">
        <v>110670</v>
      </c>
      <c r="AG256" s="123">
        <v>3255000</v>
      </c>
      <c r="AH256" s="123">
        <v>3873450</v>
      </c>
      <c r="AI256" s="124" t="s">
        <v>187</v>
      </c>
      <c r="AJ256" s="125">
        <v>46157</v>
      </c>
      <c r="AK256" s="126" t="s">
        <v>1141</v>
      </c>
      <c r="AL256" s="127" t="s">
        <v>189</v>
      </c>
      <c r="AM256" s="128" t="s">
        <v>592</v>
      </c>
      <c r="AN256" s="129">
        <v>117600</v>
      </c>
      <c r="AO256" s="129" t="s">
        <v>198</v>
      </c>
      <c r="AP256" s="130" t="s">
        <v>192</v>
      </c>
      <c r="AQ256" s="131">
        <v>117600</v>
      </c>
      <c r="AR256" s="132">
        <v>22344</v>
      </c>
      <c r="AS256" s="132">
        <v>139944</v>
      </c>
      <c r="AT256" s="132">
        <v>4116000</v>
      </c>
      <c r="AU256" s="132">
        <v>4898040</v>
      </c>
      <c r="AV256" s="133">
        <f t="shared" si="135"/>
        <v>120230</v>
      </c>
      <c r="AW256" s="133">
        <f t="shared" si="136"/>
        <v>4208050</v>
      </c>
      <c r="AX256" s="133">
        <f t="shared" si="137"/>
        <v>597650</v>
      </c>
      <c r="AY256" s="134">
        <v>0.14199999999999999</v>
      </c>
      <c r="AZ256" s="5"/>
      <c r="BA256" s="7"/>
      <c r="BB256" s="7"/>
    </row>
    <row r="257" spans="1:54" ht="40.5">
      <c r="A257" s="105" t="s">
        <v>1133</v>
      </c>
      <c r="B257" s="105" t="s">
        <v>1133</v>
      </c>
      <c r="C257" s="105"/>
      <c r="D257" s="105" t="s">
        <v>1142</v>
      </c>
      <c r="E257" s="105" t="s">
        <v>1143</v>
      </c>
      <c r="F257" s="107" t="s">
        <v>185</v>
      </c>
      <c r="G257" s="108">
        <v>60</v>
      </c>
      <c r="H257" s="107" t="s">
        <v>186</v>
      </c>
      <c r="I257" s="109" t="s">
        <v>1144</v>
      </c>
      <c r="J257" s="110">
        <v>46156</v>
      </c>
      <c r="K257" s="111" t="s">
        <v>1141</v>
      </c>
      <c r="L257" s="112" t="s">
        <v>189</v>
      </c>
      <c r="M257" s="110" t="s">
        <v>592</v>
      </c>
      <c r="N257" s="113">
        <v>5750</v>
      </c>
      <c r="O257" s="113" t="s">
        <v>198</v>
      </c>
      <c r="P257" s="113" t="s">
        <v>192</v>
      </c>
      <c r="Q257" s="114">
        <v>5750</v>
      </c>
      <c r="R257" s="115">
        <v>1093</v>
      </c>
      <c r="S257" s="115">
        <v>6843</v>
      </c>
      <c r="T257" s="115">
        <v>345000</v>
      </c>
      <c r="U257" s="115">
        <v>410550</v>
      </c>
      <c r="V257" s="116" t="s">
        <v>1144</v>
      </c>
      <c r="W257" s="117">
        <v>46156</v>
      </c>
      <c r="X257" s="118" t="s">
        <v>1139</v>
      </c>
      <c r="Y257" s="119" t="s">
        <v>189</v>
      </c>
      <c r="Z257" s="120" t="s">
        <v>1140</v>
      </c>
      <c r="AA257" s="121">
        <v>7500</v>
      </c>
      <c r="AB257" s="121" t="s">
        <v>198</v>
      </c>
      <c r="AC257" s="121" t="s">
        <v>192</v>
      </c>
      <c r="AD257" s="122">
        <v>7500</v>
      </c>
      <c r="AE257" s="123">
        <v>1425</v>
      </c>
      <c r="AF257" s="123">
        <v>8925</v>
      </c>
      <c r="AG257" s="123">
        <v>450000</v>
      </c>
      <c r="AH257" s="123">
        <v>535500</v>
      </c>
      <c r="AI257" s="124" t="s">
        <v>1144</v>
      </c>
      <c r="AJ257" s="125">
        <v>46156</v>
      </c>
      <c r="AK257" s="126" t="s">
        <v>1137</v>
      </c>
      <c r="AL257" s="127" t="s">
        <v>189</v>
      </c>
      <c r="AM257" s="128" t="s">
        <v>1138</v>
      </c>
      <c r="AN257" s="129">
        <v>7000</v>
      </c>
      <c r="AO257" s="129" t="s">
        <v>198</v>
      </c>
      <c r="AP257" s="130" t="s">
        <v>192</v>
      </c>
      <c r="AQ257" s="131">
        <v>7000</v>
      </c>
      <c r="AR257" s="132">
        <v>1330</v>
      </c>
      <c r="AS257" s="132">
        <v>8330</v>
      </c>
      <c r="AT257" s="132">
        <v>420000</v>
      </c>
      <c r="AU257" s="132">
        <v>499800</v>
      </c>
      <c r="AV257" s="133">
        <f t="shared" si="135"/>
        <v>8033</v>
      </c>
      <c r="AW257" s="133">
        <f t="shared" si="136"/>
        <v>481980</v>
      </c>
      <c r="AX257" s="133">
        <f t="shared" si="137"/>
        <v>64359</v>
      </c>
      <c r="AY257" s="134">
        <v>0.13350000000000001</v>
      </c>
      <c r="AZ257" s="5"/>
      <c r="BA257" s="7"/>
      <c r="BB257" s="7"/>
    </row>
    <row r="258" spans="1:54" ht="162">
      <c r="A258" s="105" t="s">
        <v>1133</v>
      </c>
      <c r="B258" s="105" t="s">
        <v>1133</v>
      </c>
      <c r="C258" s="105"/>
      <c r="D258" s="105" t="s">
        <v>1145</v>
      </c>
      <c r="E258" s="105" t="s">
        <v>1146</v>
      </c>
      <c r="F258" s="107" t="s">
        <v>185</v>
      </c>
      <c r="G258" s="108">
        <v>100</v>
      </c>
      <c r="H258" s="107" t="s">
        <v>186</v>
      </c>
      <c r="I258" s="109" t="s">
        <v>1136</v>
      </c>
      <c r="J258" s="110">
        <v>46156</v>
      </c>
      <c r="K258" s="111" t="s">
        <v>1137</v>
      </c>
      <c r="L258" s="112" t="s">
        <v>189</v>
      </c>
      <c r="M258" s="110" t="s">
        <v>1138</v>
      </c>
      <c r="N258" s="113">
        <v>7600</v>
      </c>
      <c r="O258" s="113" t="s">
        <v>198</v>
      </c>
      <c r="P258" s="113" t="s">
        <v>192</v>
      </c>
      <c r="Q258" s="114">
        <v>7600</v>
      </c>
      <c r="R258" s="115">
        <v>1444</v>
      </c>
      <c r="S258" s="115">
        <v>9044</v>
      </c>
      <c r="T258" s="115">
        <v>760000</v>
      </c>
      <c r="U258" s="115">
        <v>904400</v>
      </c>
      <c r="V258" s="116" t="s">
        <v>1136</v>
      </c>
      <c r="W258" s="117">
        <v>46156</v>
      </c>
      <c r="X258" s="118" t="s">
        <v>1147</v>
      </c>
      <c r="Y258" s="119" t="s">
        <v>189</v>
      </c>
      <c r="Z258" s="120" t="s">
        <v>1148</v>
      </c>
      <c r="AA258" s="121">
        <v>5860</v>
      </c>
      <c r="AB258" s="121" t="s">
        <v>198</v>
      </c>
      <c r="AC258" s="121" t="s">
        <v>192</v>
      </c>
      <c r="AD258" s="122">
        <v>5860</v>
      </c>
      <c r="AE258" s="123">
        <v>1113</v>
      </c>
      <c r="AF258" s="123">
        <v>6973</v>
      </c>
      <c r="AG258" s="123">
        <v>586000</v>
      </c>
      <c r="AH258" s="123">
        <v>697340</v>
      </c>
      <c r="AI258" s="124" t="s">
        <v>1144</v>
      </c>
      <c r="AJ258" s="125">
        <v>46156</v>
      </c>
      <c r="AK258" s="126" t="s">
        <v>1139</v>
      </c>
      <c r="AL258" s="127" t="s">
        <v>189</v>
      </c>
      <c r="AM258" s="128" t="s">
        <v>1140</v>
      </c>
      <c r="AN258" s="129">
        <v>8040</v>
      </c>
      <c r="AO258" s="129" t="s">
        <v>198</v>
      </c>
      <c r="AP258" s="130" t="s">
        <v>192</v>
      </c>
      <c r="AQ258" s="131">
        <v>8040</v>
      </c>
      <c r="AR258" s="132">
        <v>1528</v>
      </c>
      <c r="AS258" s="132">
        <v>9568</v>
      </c>
      <c r="AT258" s="132">
        <v>804000</v>
      </c>
      <c r="AU258" s="132">
        <v>956760</v>
      </c>
      <c r="AV258" s="133">
        <f t="shared" si="135"/>
        <v>8528</v>
      </c>
      <c r="AW258" s="133">
        <f t="shared" si="136"/>
        <v>852800</v>
      </c>
      <c r="AX258" s="133">
        <f t="shared" si="137"/>
        <v>137182</v>
      </c>
      <c r="AY258" s="134">
        <v>0.16089999999999999</v>
      </c>
      <c r="AZ258" s="5"/>
      <c r="BA258" s="7"/>
      <c r="BB258" s="7"/>
    </row>
    <row r="259" spans="1:54" ht="135">
      <c r="A259" s="105" t="s">
        <v>1133</v>
      </c>
      <c r="B259" s="105" t="s">
        <v>1133</v>
      </c>
      <c r="C259" s="105"/>
      <c r="D259" s="105" t="s">
        <v>1149</v>
      </c>
      <c r="E259" s="105" t="s">
        <v>1150</v>
      </c>
      <c r="F259" s="107" t="s">
        <v>185</v>
      </c>
      <c r="G259" s="108">
        <v>50</v>
      </c>
      <c r="H259" s="107" t="s">
        <v>186</v>
      </c>
      <c r="I259" s="109" t="s">
        <v>1136</v>
      </c>
      <c r="J259" s="110">
        <v>46156</v>
      </c>
      <c r="K259" s="111" t="s">
        <v>1137</v>
      </c>
      <c r="L259" s="112" t="s">
        <v>189</v>
      </c>
      <c r="M259" s="110" t="s">
        <v>1138</v>
      </c>
      <c r="N259" s="113">
        <v>14000</v>
      </c>
      <c r="O259" s="113" t="s">
        <v>198</v>
      </c>
      <c r="P259" s="113" t="s">
        <v>192</v>
      </c>
      <c r="Q259" s="114">
        <v>14000</v>
      </c>
      <c r="R259" s="115">
        <v>2660</v>
      </c>
      <c r="S259" s="115">
        <v>16660</v>
      </c>
      <c r="T259" s="115">
        <v>700000</v>
      </c>
      <c r="U259" s="115">
        <v>833000</v>
      </c>
      <c r="V259" s="116" t="s">
        <v>1136</v>
      </c>
      <c r="W259" s="117">
        <v>46156</v>
      </c>
      <c r="X259" s="118" t="s">
        <v>1147</v>
      </c>
      <c r="Y259" s="119" t="s">
        <v>189</v>
      </c>
      <c r="Z259" s="120" t="s">
        <v>1148</v>
      </c>
      <c r="AA259" s="121">
        <v>11890</v>
      </c>
      <c r="AB259" s="121" t="s">
        <v>198</v>
      </c>
      <c r="AC259" s="121" t="s">
        <v>192</v>
      </c>
      <c r="AD259" s="122">
        <v>11890</v>
      </c>
      <c r="AE259" s="123">
        <v>2259</v>
      </c>
      <c r="AF259" s="123">
        <v>14149</v>
      </c>
      <c r="AG259" s="123">
        <v>594500</v>
      </c>
      <c r="AH259" s="123">
        <v>707455</v>
      </c>
      <c r="AI259" s="124" t="s">
        <v>1136</v>
      </c>
      <c r="AJ259" s="125">
        <v>46156</v>
      </c>
      <c r="AK259" s="126" t="s">
        <v>1139</v>
      </c>
      <c r="AL259" s="127" t="s">
        <v>1151</v>
      </c>
      <c r="AM259" s="128" t="s">
        <v>1140</v>
      </c>
      <c r="AN259" s="129">
        <v>15000</v>
      </c>
      <c r="AO259" s="129" t="s">
        <v>198</v>
      </c>
      <c r="AP259" s="130" t="s">
        <v>192</v>
      </c>
      <c r="AQ259" s="131">
        <v>15000</v>
      </c>
      <c r="AR259" s="132">
        <v>2850</v>
      </c>
      <c r="AS259" s="132">
        <v>17850</v>
      </c>
      <c r="AT259" s="132">
        <v>750000</v>
      </c>
      <c r="AU259" s="132">
        <v>892500</v>
      </c>
      <c r="AV259" s="133">
        <f t="shared" si="135"/>
        <v>16220</v>
      </c>
      <c r="AW259" s="133">
        <f t="shared" si="136"/>
        <v>811000</v>
      </c>
      <c r="AX259" s="133">
        <f t="shared" si="137"/>
        <v>94466</v>
      </c>
      <c r="AY259" s="134">
        <v>0.11650000000000001</v>
      </c>
      <c r="AZ259" s="5"/>
      <c r="BA259" s="7"/>
      <c r="BB259" s="7"/>
    </row>
    <row r="260" spans="1:54" ht="67.5">
      <c r="A260" s="105" t="s">
        <v>1152</v>
      </c>
      <c r="B260" s="105" t="s">
        <v>1152</v>
      </c>
      <c r="C260" s="105"/>
      <c r="D260" s="105" t="s">
        <v>1153</v>
      </c>
      <c r="E260" s="105" t="s">
        <v>1154</v>
      </c>
      <c r="F260" s="107" t="s">
        <v>185</v>
      </c>
      <c r="G260" s="108">
        <v>30</v>
      </c>
      <c r="H260" s="107" t="s">
        <v>288</v>
      </c>
      <c r="I260" s="109" t="s">
        <v>200</v>
      </c>
      <c r="J260" s="110">
        <v>46170</v>
      </c>
      <c r="K260" s="111" t="s">
        <v>1155</v>
      </c>
      <c r="L260" s="112" t="s">
        <v>194</v>
      </c>
      <c r="M260" s="110" t="s">
        <v>1155</v>
      </c>
      <c r="N260" s="113">
        <v>30000</v>
      </c>
      <c r="O260" s="113" t="s">
        <v>198</v>
      </c>
      <c r="P260" s="113" t="s">
        <v>192</v>
      </c>
      <c r="Q260" s="114">
        <v>30000</v>
      </c>
      <c r="R260" s="115">
        <v>5700</v>
      </c>
      <c r="S260" s="115">
        <v>35700</v>
      </c>
      <c r="T260" s="115">
        <v>900000</v>
      </c>
      <c r="U260" s="115">
        <v>1071000</v>
      </c>
      <c r="V260" s="116" t="s">
        <v>200</v>
      </c>
      <c r="W260" s="117">
        <v>46170</v>
      </c>
      <c r="X260" s="118" t="s">
        <v>1156</v>
      </c>
      <c r="Y260" s="119" t="s">
        <v>194</v>
      </c>
      <c r="Z260" s="120" t="s">
        <v>1157</v>
      </c>
      <c r="AA260" s="121">
        <v>26890</v>
      </c>
      <c r="AB260" s="121" t="s">
        <v>198</v>
      </c>
      <c r="AC260" s="121" t="s">
        <v>192</v>
      </c>
      <c r="AD260" s="122">
        <v>26890</v>
      </c>
      <c r="AE260" s="123">
        <v>5109</v>
      </c>
      <c r="AF260" s="123">
        <v>31999</v>
      </c>
      <c r="AG260" s="123">
        <v>806700</v>
      </c>
      <c r="AH260" s="123">
        <v>959973</v>
      </c>
      <c r="AI260" s="124" t="s">
        <v>200</v>
      </c>
      <c r="AJ260" s="125">
        <v>46170</v>
      </c>
      <c r="AK260" s="126" t="s">
        <v>1158</v>
      </c>
      <c r="AL260" s="127" t="s">
        <v>194</v>
      </c>
      <c r="AM260" s="128" t="s">
        <v>1158</v>
      </c>
      <c r="AN260" s="129">
        <v>30000</v>
      </c>
      <c r="AO260" s="129" t="s">
        <v>198</v>
      </c>
      <c r="AP260" s="130" t="s">
        <v>218</v>
      </c>
      <c r="AQ260" s="131">
        <v>30000</v>
      </c>
      <c r="AR260" s="132" t="s">
        <v>1095</v>
      </c>
      <c r="AS260" s="132">
        <v>30000</v>
      </c>
      <c r="AT260" s="132">
        <v>900000</v>
      </c>
      <c r="AU260" s="132">
        <v>900000</v>
      </c>
      <c r="AV260" s="133">
        <f t="shared" ref="AV260:AV282" si="184">IF(A260="","",ROUND(AVERAGE(S260,AF260,AS260),0))</f>
        <v>32566</v>
      </c>
      <c r="AW260" s="133">
        <f t="shared" ref="AW260:AW282" si="185">IF(A260="","",AV260*G260)</f>
        <v>976980</v>
      </c>
      <c r="AX260" s="133">
        <f t="shared" ref="AX260:AX282" si="186">IF(N260="","",ROUND(STDEV(U260,AH260,AU260),0))</f>
        <v>86761</v>
      </c>
      <c r="AY260" s="134">
        <v>8.8800000000000004E-2</v>
      </c>
      <c r="AZ260" s="5"/>
      <c r="BA260" s="7"/>
      <c r="BB260" s="7"/>
    </row>
    <row r="261" spans="1:54" ht="94.5">
      <c r="A261" s="105" t="s">
        <v>1152</v>
      </c>
      <c r="B261" s="105" t="s">
        <v>1152</v>
      </c>
      <c r="C261" s="105"/>
      <c r="D261" s="105" t="s">
        <v>1159</v>
      </c>
      <c r="E261" s="105" t="s">
        <v>1160</v>
      </c>
      <c r="F261" s="107" t="s">
        <v>1161</v>
      </c>
      <c r="G261" s="108">
        <v>42</v>
      </c>
      <c r="H261" s="107" t="s">
        <v>186</v>
      </c>
      <c r="I261" s="109" t="s">
        <v>200</v>
      </c>
      <c r="J261" s="110">
        <v>46170</v>
      </c>
      <c r="K261" s="111" t="s">
        <v>1162</v>
      </c>
      <c r="L261" s="112" t="s">
        <v>194</v>
      </c>
      <c r="M261" s="110" t="s">
        <v>1163</v>
      </c>
      <c r="N261" s="113">
        <v>6900</v>
      </c>
      <c r="O261" s="113" t="s">
        <v>191</v>
      </c>
      <c r="P261" s="113" t="s">
        <v>192</v>
      </c>
      <c r="Q261" s="114">
        <v>5798.32</v>
      </c>
      <c r="R261" s="115">
        <v>1102</v>
      </c>
      <c r="S261" s="115">
        <v>6900</v>
      </c>
      <c r="T261" s="115">
        <v>243529</v>
      </c>
      <c r="U261" s="115">
        <v>289800</v>
      </c>
      <c r="V261" s="116" t="s">
        <v>200</v>
      </c>
      <c r="W261" s="117">
        <v>46170</v>
      </c>
      <c r="X261" s="118" t="s">
        <v>1164</v>
      </c>
      <c r="Y261" s="119" t="s">
        <v>194</v>
      </c>
      <c r="Z261" s="120" t="s">
        <v>1165</v>
      </c>
      <c r="AA261" s="121">
        <v>6600</v>
      </c>
      <c r="AB261" s="121" t="s">
        <v>191</v>
      </c>
      <c r="AC261" s="121" t="s">
        <v>192</v>
      </c>
      <c r="AD261" s="122">
        <v>5546.22</v>
      </c>
      <c r="AE261" s="123">
        <v>1054</v>
      </c>
      <c r="AF261" s="123">
        <v>6600</v>
      </c>
      <c r="AG261" s="123">
        <v>232941</v>
      </c>
      <c r="AH261" s="123">
        <v>277200</v>
      </c>
      <c r="AI261" s="124" t="s">
        <v>200</v>
      </c>
      <c r="AJ261" s="125">
        <v>46170</v>
      </c>
      <c r="AK261" s="126" t="s">
        <v>1166</v>
      </c>
      <c r="AL261" s="127" t="s">
        <v>194</v>
      </c>
      <c r="AM261" s="128" t="s">
        <v>883</v>
      </c>
      <c r="AN261" s="129">
        <v>6900</v>
      </c>
      <c r="AO261" s="129" t="s">
        <v>191</v>
      </c>
      <c r="AP261" s="130" t="s">
        <v>192</v>
      </c>
      <c r="AQ261" s="131">
        <v>5798.32</v>
      </c>
      <c r="AR261" s="132">
        <v>1102</v>
      </c>
      <c r="AS261" s="132">
        <v>6900</v>
      </c>
      <c r="AT261" s="132">
        <v>243529</v>
      </c>
      <c r="AU261" s="132">
        <v>289800</v>
      </c>
      <c r="AV261" s="133">
        <f t="shared" si="184"/>
        <v>6800</v>
      </c>
      <c r="AW261" s="133">
        <f t="shared" si="185"/>
        <v>285600</v>
      </c>
      <c r="AX261" s="133">
        <f t="shared" si="186"/>
        <v>7275</v>
      </c>
      <c r="AY261" s="134">
        <v>2.5499999999999998E-2</v>
      </c>
      <c r="AZ261" s="5"/>
      <c r="BA261" s="7"/>
      <c r="BB261" s="7"/>
    </row>
    <row r="262" spans="1:54" ht="94.5">
      <c r="A262" s="105" t="s">
        <v>1152</v>
      </c>
      <c r="B262" s="105" t="s">
        <v>1152</v>
      </c>
      <c r="C262" s="105"/>
      <c r="D262" s="105" t="s">
        <v>1167</v>
      </c>
      <c r="E262" s="105" t="s">
        <v>1168</v>
      </c>
      <c r="F262" s="107" t="s">
        <v>185</v>
      </c>
      <c r="G262" s="108">
        <v>30</v>
      </c>
      <c r="H262" s="107" t="s">
        <v>186</v>
      </c>
      <c r="I262" s="109" t="s">
        <v>200</v>
      </c>
      <c r="J262" s="110">
        <v>46170</v>
      </c>
      <c r="K262" s="111" t="s">
        <v>1169</v>
      </c>
      <c r="L262" s="112" t="s">
        <v>194</v>
      </c>
      <c r="M262" s="110" t="s">
        <v>1170</v>
      </c>
      <c r="N262" s="113">
        <v>21023</v>
      </c>
      <c r="O262" s="113" t="s">
        <v>191</v>
      </c>
      <c r="P262" s="113" t="s">
        <v>192</v>
      </c>
      <c r="Q262" s="114">
        <v>17666.39</v>
      </c>
      <c r="R262" s="115">
        <v>3357</v>
      </c>
      <c r="S262" s="115">
        <v>21023</v>
      </c>
      <c r="T262" s="115">
        <v>529992</v>
      </c>
      <c r="U262" s="115">
        <v>630690</v>
      </c>
      <c r="V262" s="116" t="s">
        <v>200</v>
      </c>
      <c r="W262" s="117">
        <v>46170</v>
      </c>
      <c r="X262" s="118" t="s">
        <v>1171</v>
      </c>
      <c r="Y262" s="119" t="s">
        <v>194</v>
      </c>
      <c r="Z262" s="120" t="s">
        <v>1172</v>
      </c>
      <c r="AA262" s="121">
        <v>24300</v>
      </c>
      <c r="AB262" s="121" t="s">
        <v>191</v>
      </c>
      <c r="AC262" s="121" t="s">
        <v>192</v>
      </c>
      <c r="AD262" s="122">
        <v>20420.169999999998</v>
      </c>
      <c r="AE262" s="123">
        <v>3880</v>
      </c>
      <c r="AF262" s="123">
        <v>24300</v>
      </c>
      <c r="AG262" s="123">
        <v>612605</v>
      </c>
      <c r="AH262" s="123">
        <v>729000</v>
      </c>
      <c r="AI262" s="124" t="s">
        <v>200</v>
      </c>
      <c r="AJ262" s="125">
        <v>46170</v>
      </c>
      <c r="AK262" s="126" t="s">
        <v>1173</v>
      </c>
      <c r="AL262" s="127" t="s">
        <v>194</v>
      </c>
      <c r="AM262" s="128" t="s">
        <v>1012</v>
      </c>
      <c r="AN262" s="129">
        <v>22000</v>
      </c>
      <c r="AO262" s="129" t="s">
        <v>191</v>
      </c>
      <c r="AP262" s="130" t="s">
        <v>192</v>
      </c>
      <c r="AQ262" s="131">
        <v>18487.39</v>
      </c>
      <c r="AR262" s="132">
        <v>3513</v>
      </c>
      <c r="AS262" s="132">
        <v>22000</v>
      </c>
      <c r="AT262" s="132">
        <v>554622</v>
      </c>
      <c r="AU262" s="132">
        <v>660000</v>
      </c>
      <c r="AV262" s="133">
        <f t="shared" si="184"/>
        <v>22441</v>
      </c>
      <c r="AW262" s="133">
        <f t="shared" si="185"/>
        <v>673230</v>
      </c>
      <c r="AX262" s="133">
        <f t="shared" si="186"/>
        <v>50473</v>
      </c>
      <c r="AY262" s="134">
        <v>7.4999999999999997E-2</v>
      </c>
      <c r="AZ262" s="5"/>
      <c r="BA262" s="7"/>
      <c r="BB262" s="7"/>
    </row>
    <row r="263" spans="1:54" ht="108">
      <c r="A263" s="105" t="s">
        <v>1152</v>
      </c>
      <c r="B263" s="105" t="s">
        <v>1152</v>
      </c>
      <c r="C263" s="105"/>
      <c r="D263" s="105" t="s">
        <v>1174</v>
      </c>
      <c r="E263" s="105" t="s">
        <v>1174</v>
      </c>
      <c r="F263" s="107" t="s">
        <v>1175</v>
      </c>
      <c r="G263" s="108">
        <v>12</v>
      </c>
      <c r="H263" s="107" t="s">
        <v>186</v>
      </c>
      <c r="I263" s="109" t="s">
        <v>200</v>
      </c>
      <c r="J263" s="110">
        <v>46170</v>
      </c>
      <c r="K263" s="111" t="s">
        <v>1176</v>
      </c>
      <c r="L263" s="112" t="s">
        <v>194</v>
      </c>
      <c r="M263" s="110" t="s">
        <v>1177</v>
      </c>
      <c r="N263" s="113">
        <v>16900</v>
      </c>
      <c r="O263" s="113" t="s">
        <v>191</v>
      </c>
      <c r="P263" s="113" t="s">
        <v>192</v>
      </c>
      <c r="Q263" s="114">
        <v>14201.68</v>
      </c>
      <c r="R263" s="115">
        <v>2698</v>
      </c>
      <c r="S263" s="115">
        <v>16900</v>
      </c>
      <c r="T263" s="115">
        <v>170420</v>
      </c>
      <c r="U263" s="115">
        <v>202800</v>
      </c>
      <c r="V263" s="116" t="s">
        <v>200</v>
      </c>
      <c r="W263" s="117">
        <v>46170</v>
      </c>
      <c r="X263" s="118" t="s">
        <v>1178</v>
      </c>
      <c r="Y263" s="119" t="s">
        <v>194</v>
      </c>
      <c r="Z263" s="120" t="s">
        <v>1178</v>
      </c>
      <c r="AA263" s="121">
        <v>15000</v>
      </c>
      <c r="AB263" s="121" t="s">
        <v>198</v>
      </c>
      <c r="AC263" s="121" t="s">
        <v>192</v>
      </c>
      <c r="AD263" s="122">
        <v>15000</v>
      </c>
      <c r="AE263" s="123">
        <v>2850</v>
      </c>
      <c r="AF263" s="123">
        <v>17850</v>
      </c>
      <c r="AG263" s="123">
        <v>180000</v>
      </c>
      <c r="AH263" s="123">
        <v>214200</v>
      </c>
      <c r="AI263" s="124" t="s">
        <v>200</v>
      </c>
      <c r="AJ263" s="125">
        <v>46170</v>
      </c>
      <c r="AK263" s="126" t="s">
        <v>1179</v>
      </c>
      <c r="AL263" s="127" t="s">
        <v>194</v>
      </c>
      <c r="AM263" s="128" t="s">
        <v>1180</v>
      </c>
      <c r="AN263" s="129">
        <v>15200</v>
      </c>
      <c r="AO263" s="129" t="s">
        <v>191</v>
      </c>
      <c r="AP263" s="130" t="s">
        <v>192</v>
      </c>
      <c r="AQ263" s="131">
        <v>12773.11</v>
      </c>
      <c r="AR263" s="132">
        <v>2427</v>
      </c>
      <c r="AS263" s="132">
        <v>15200</v>
      </c>
      <c r="AT263" s="132">
        <v>153277</v>
      </c>
      <c r="AU263" s="132">
        <v>182400</v>
      </c>
      <c r="AV263" s="133">
        <f t="shared" si="184"/>
        <v>16650</v>
      </c>
      <c r="AW263" s="133">
        <f t="shared" si="185"/>
        <v>199800</v>
      </c>
      <c r="AX263" s="133">
        <f t="shared" si="186"/>
        <v>16111</v>
      </c>
      <c r="AY263" s="134">
        <v>8.0600000000000005E-2</v>
      </c>
      <c r="AZ263" s="5"/>
      <c r="BA263" s="7"/>
      <c r="BB263" s="7"/>
    </row>
    <row r="264" spans="1:54" ht="40.5">
      <c r="A264" s="105" t="s">
        <v>1152</v>
      </c>
      <c r="B264" s="105" t="s">
        <v>1152</v>
      </c>
      <c r="C264" s="105"/>
      <c r="D264" s="105" t="s">
        <v>1181</v>
      </c>
      <c r="E264" s="105" t="s">
        <v>1182</v>
      </c>
      <c r="F264" s="107" t="s">
        <v>185</v>
      </c>
      <c r="G264" s="108">
        <v>30</v>
      </c>
      <c r="H264" s="107" t="s">
        <v>288</v>
      </c>
      <c r="I264" s="109" t="s">
        <v>200</v>
      </c>
      <c r="J264" s="110">
        <v>46170</v>
      </c>
      <c r="K264" s="111" t="s">
        <v>1183</v>
      </c>
      <c r="L264" s="112" t="s">
        <v>194</v>
      </c>
      <c r="M264" s="110" t="s">
        <v>1183</v>
      </c>
      <c r="N264" s="113">
        <v>35000</v>
      </c>
      <c r="O264" s="113" t="s">
        <v>198</v>
      </c>
      <c r="P264" s="113" t="s">
        <v>218</v>
      </c>
      <c r="Q264" s="114">
        <v>35000</v>
      </c>
      <c r="R264" s="115" t="s">
        <v>1095</v>
      </c>
      <c r="S264" s="115">
        <v>35000</v>
      </c>
      <c r="T264" s="115">
        <v>1050000</v>
      </c>
      <c r="U264" s="115">
        <v>1050000</v>
      </c>
      <c r="V264" s="116" t="s">
        <v>200</v>
      </c>
      <c r="W264" s="117">
        <v>46170</v>
      </c>
      <c r="X264" s="118" t="s">
        <v>1184</v>
      </c>
      <c r="Y264" s="119" t="s">
        <v>194</v>
      </c>
      <c r="Z264" s="120" t="s">
        <v>1185</v>
      </c>
      <c r="AA264" s="121">
        <v>36000</v>
      </c>
      <c r="AB264" s="121" t="s">
        <v>198</v>
      </c>
      <c r="AC264" s="121" t="s">
        <v>192</v>
      </c>
      <c r="AD264" s="122">
        <v>36000</v>
      </c>
      <c r="AE264" s="123">
        <v>6840</v>
      </c>
      <c r="AF264" s="123">
        <v>42840</v>
      </c>
      <c r="AG264" s="123">
        <v>1080000</v>
      </c>
      <c r="AH264" s="123">
        <v>1285200</v>
      </c>
      <c r="AI264" s="124" t="s">
        <v>200</v>
      </c>
      <c r="AJ264" s="125">
        <v>46170</v>
      </c>
      <c r="AK264" s="126" t="s">
        <v>1186</v>
      </c>
      <c r="AL264" s="127" t="s">
        <v>194</v>
      </c>
      <c r="AM264" s="128" t="s">
        <v>1187</v>
      </c>
      <c r="AN264" s="129">
        <v>35000</v>
      </c>
      <c r="AO264" s="129" t="s">
        <v>198</v>
      </c>
      <c r="AP264" s="130" t="s">
        <v>192</v>
      </c>
      <c r="AQ264" s="131">
        <v>35000</v>
      </c>
      <c r="AR264" s="132">
        <v>6650</v>
      </c>
      <c r="AS264" s="132">
        <v>41650</v>
      </c>
      <c r="AT264" s="132">
        <v>1050000</v>
      </c>
      <c r="AU264" s="132">
        <v>1249500</v>
      </c>
      <c r="AV264" s="133">
        <f t="shared" si="184"/>
        <v>39830</v>
      </c>
      <c r="AW264" s="133">
        <f t="shared" si="185"/>
        <v>1194900</v>
      </c>
      <c r="AX264" s="133">
        <f t="shared" si="186"/>
        <v>126750</v>
      </c>
      <c r="AY264" s="134">
        <v>0.1061</v>
      </c>
      <c r="AZ264" s="5"/>
      <c r="BA264" s="7"/>
      <c r="BB264" s="7"/>
    </row>
    <row r="265" spans="1:54" ht="81">
      <c r="A265" s="105" t="s">
        <v>1152</v>
      </c>
      <c r="B265" s="105" t="s">
        <v>1152</v>
      </c>
      <c r="C265" s="105"/>
      <c r="D265" s="105" t="s">
        <v>1188</v>
      </c>
      <c r="E265" s="105" t="s">
        <v>1189</v>
      </c>
      <c r="F265" s="107" t="s">
        <v>185</v>
      </c>
      <c r="G265" s="108">
        <v>30</v>
      </c>
      <c r="H265" s="107" t="s">
        <v>186</v>
      </c>
      <c r="I265" s="109" t="s">
        <v>200</v>
      </c>
      <c r="J265" s="110">
        <v>46175</v>
      </c>
      <c r="K265" s="111" t="s">
        <v>1190</v>
      </c>
      <c r="L265" s="112" t="s">
        <v>194</v>
      </c>
      <c r="M265" s="110" t="s">
        <v>1190</v>
      </c>
      <c r="N265" s="113">
        <v>5200</v>
      </c>
      <c r="O265" s="113" t="s">
        <v>198</v>
      </c>
      <c r="P265" s="113" t="s">
        <v>192</v>
      </c>
      <c r="Q265" s="114">
        <v>5200</v>
      </c>
      <c r="R265" s="115">
        <v>988</v>
      </c>
      <c r="S265" s="115">
        <v>6188</v>
      </c>
      <c r="T265" s="115">
        <v>156000</v>
      </c>
      <c r="U265" s="115">
        <v>185640</v>
      </c>
      <c r="V265" s="116" t="s">
        <v>200</v>
      </c>
      <c r="W265" s="117">
        <v>46175</v>
      </c>
      <c r="X265" s="118" t="s">
        <v>1191</v>
      </c>
      <c r="Y265" s="119" t="s">
        <v>194</v>
      </c>
      <c r="Z265" s="120" t="s">
        <v>1192</v>
      </c>
      <c r="AA265" s="121">
        <v>5400</v>
      </c>
      <c r="AB265" s="121" t="s">
        <v>198</v>
      </c>
      <c r="AC265" s="121" t="s">
        <v>192</v>
      </c>
      <c r="AD265" s="122">
        <v>5400</v>
      </c>
      <c r="AE265" s="123">
        <v>1026</v>
      </c>
      <c r="AF265" s="123">
        <v>6426</v>
      </c>
      <c r="AG265" s="123">
        <v>162000</v>
      </c>
      <c r="AH265" s="123">
        <v>192780</v>
      </c>
      <c r="AI265" s="124" t="s">
        <v>200</v>
      </c>
      <c r="AJ265" s="125">
        <v>46175</v>
      </c>
      <c r="AK265" s="126" t="s">
        <v>1193</v>
      </c>
      <c r="AL265" s="127" t="s">
        <v>194</v>
      </c>
      <c r="AM265" s="128" t="s">
        <v>1193</v>
      </c>
      <c r="AN265" s="129">
        <v>5610</v>
      </c>
      <c r="AO265" s="129" t="s">
        <v>198</v>
      </c>
      <c r="AP265" s="130" t="s">
        <v>192</v>
      </c>
      <c r="AQ265" s="131">
        <v>5610</v>
      </c>
      <c r="AR265" s="132">
        <v>1066</v>
      </c>
      <c r="AS265" s="132">
        <v>6676</v>
      </c>
      <c r="AT265" s="132">
        <v>168300</v>
      </c>
      <c r="AU265" s="132">
        <v>200277</v>
      </c>
      <c r="AV265" s="133">
        <f t="shared" si="184"/>
        <v>6430</v>
      </c>
      <c r="AW265" s="133">
        <f t="shared" si="185"/>
        <v>192900</v>
      </c>
      <c r="AX265" s="133">
        <f t="shared" si="186"/>
        <v>7319</v>
      </c>
      <c r="AY265" s="134">
        <v>3.7900000000000003E-2</v>
      </c>
      <c r="AZ265" s="5"/>
      <c r="BA265" s="7"/>
      <c r="BB265" s="7"/>
    </row>
    <row r="266" spans="1:54" ht="108">
      <c r="A266" s="105" t="s">
        <v>1152</v>
      </c>
      <c r="B266" s="105" t="s">
        <v>1152</v>
      </c>
      <c r="C266" s="105"/>
      <c r="D266" s="105" t="s">
        <v>1194</v>
      </c>
      <c r="E266" s="105" t="s">
        <v>1195</v>
      </c>
      <c r="F266" s="107" t="s">
        <v>185</v>
      </c>
      <c r="G266" s="108">
        <v>2</v>
      </c>
      <c r="H266" s="107" t="s">
        <v>186</v>
      </c>
      <c r="I266" s="109" t="s">
        <v>200</v>
      </c>
      <c r="J266" s="110">
        <v>46170</v>
      </c>
      <c r="K266" s="111" t="s">
        <v>1196</v>
      </c>
      <c r="L266" s="112" t="s">
        <v>194</v>
      </c>
      <c r="M266" s="110" t="s">
        <v>1196</v>
      </c>
      <c r="N266" s="113">
        <v>10900</v>
      </c>
      <c r="O266" s="113" t="s">
        <v>191</v>
      </c>
      <c r="P266" s="113" t="s">
        <v>192</v>
      </c>
      <c r="Q266" s="114">
        <v>9159.66</v>
      </c>
      <c r="R266" s="115">
        <v>1740</v>
      </c>
      <c r="S266" s="115">
        <v>10900</v>
      </c>
      <c r="T266" s="115">
        <v>18319</v>
      </c>
      <c r="U266" s="115">
        <v>21800</v>
      </c>
      <c r="V266" s="116" t="s">
        <v>200</v>
      </c>
      <c r="W266" s="117">
        <v>46170</v>
      </c>
      <c r="X266" s="118" t="s">
        <v>1197</v>
      </c>
      <c r="Y266" s="119" t="s">
        <v>194</v>
      </c>
      <c r="Z266" s="120" t="s">
        <v>1198</v>
      </c>
      <c r="AA266" s="121">
        <v>11800</v>
      </c>
      <c r="AB266" s="121" t="s">
        <v>191</v>
      </c>
      <c r="AC266" s="121" t="s">
        <v>192</v>
      </c>
      <c r="AD266" s="122">
        <v>9915.9699999999993</v>
      </c>
      <c r="AE266" s="123">
        <v>1884</v>
      </c>
      <c r="AF266" s="123">
        <v>11800</v>
      </c>
      <c r="AG266" s="123">
        <v>19832</v>
      </c>
      <c r="AH266" s="123">
        <v>23600</v>
      </c>
      <c r="AI266" s="124" t="s">
        <v>200</v>
      </c>
      <c r="AJ266" s="125">
        <v>46170</v>
      </c>
      <c r="AK266" s="126" t="s">
        <v>1199</v>
      </c>
      <c r="AL266" s="127" t="s">
        <v>194</v>
      </c>
      <c r="AM266" s="128" t="s">
        <v>1200</v>
      </c>
      <c r="AN266" s="129">
        <v>11800</v>
      </c>
      <c r="AO266" s="129" t="s">
        <v>191</v>
      </c>
      <c r="AP266" s="130" t="s">
        <v>192</v>
      </c>
      <c r="AQ266" s="131">
        <v>9915.9699999999993</v>
      </c>
      <c r="AR266" s="132">
        <v>1884</v>
      </c>
      <c r="AS266" s="132">
        <v>11800</v>
      </c>
      <c r="AT266" s="132">
        <v>19832</v>
      </c>
      <c r="AU266" s="132">
        <v>23600</v>
      </c>
      <c r="AV266" s="133">
        <f t="shared" si="184"/>
        <v>11500</v>
      </c>
      <c r="AW266" s="133">
        <f t="shared" si="185"/>
        <v>23000</v>
      </c>
      <c r="AX266" s="133">
        <f t="shared" si="186"/>
        <v>1039</v>
      </c>
      <c r="AY266" s="134">
        <v>4.5199999999999997E-2</v>
      </c>
      <c r="AZ266" s="5"/>
      <c r="BA266" s="7"/>
      <c r="BB266" s="7"/>
    </row>
    <row r="267" spans="1:54" ht="67.5">
      <c r="A267" s="105" t="s">
        <v>1201</v>
      </c>
      <c r="B267" s="105" t="s">
        <v>1201</v>
      </c>
      <c r="C267" s="105"/>
      <c r="D267" s="105" t="s">
        <v>1202</v>
      </c>
      <c r="E267" s="105" t="s">
        <v>1203</v>
      </c>
      <c r="F267" s="107" t="s">
        <v>185</v>
      </c>
      <c r="G267" s="108">
        <v>3</v>
      </c>
      <c r="H267" s="107" t="s">
        <v>186</v>
      </c>
      <c r="I267" s="109" t="s">
        <v>200</v>
      </c>
      <c r="J267" s="110">
        <v>46181</v>
      </c>
      <c r="K267" s="111" t="s">
        <v>1204</v>
      </c>
      <c r="L267" s="112" t="s">
        <v>189</v>
      </c>
      <c r="M267" s="110" t="s">
        <v>1205</v>
      </c>
      <c r="N267" s="113">
        <v>150000</v>
      </c>
      <c r="O267" s="113" t="s">
        <v>198</v>
      </c>
      <c r="P267" s="113" t="s">
        <v>192</v>
      </c>
      <c r="Q267" s="114">
        <v>150000</v>
      </c>
      <c r="R267" s="115">
        <v>28500</v>
      </c>
      <c r="S267" s="115">
        <v>178500</v>
      </c>
      <c r="T267" s="115">
        <v>450000</v>
      </c>
      <c r="U267" s="115">
        <v>535500</v>
      </c>
      <c r="V267" s="116" t="s">
        <v>200</v>
      </c>
      <c r="W267" s="117">
        <v>46181</v>
      </c>
      <c r="X267" s="118" t="s">
        <v>1206</v>
      </c>
      <c r="Y267" s="119" t="s">
        <v>189</v>
      </c>
      <c r="Z267" s="120" t="s">
        <v>1206</v>
      </c>
      <c r="AA267" s="121">
        <v>120000</v>
      </c>
      <c r="AB267" s="121" t="s">
        <v>198</v>
      </c>
      <c r="AC267" s="121" t="s">
        <v>192</v>
      </c>
      <c r="AD267" s="122">
        <v>120000</v>
      </c>
      <c r="AE267" s="123">
        <v>22800</v>
      </c>
      <c r="AF267" s="123">
        <v>142800</v>
      </c>
      <c r="AG267" s="123">
        <v>360000</v>
      </c>
      <c r="AH267" s="123">
        <v>428400</v>
      </c>
      <c r="AI267" s="124" t="s">
        <v>200</v>
      </c>
      <c r="AJ267" s="125">
        <v>46181</v>
      </c>
      <c r="AK267" s="126" t="s">
        <v>1207</v>
      </c>
      <c r="AL267" s="127" t="s">
        <v>189</v>
      </c>
      <c r="AM267" s="128" t="s">
        <v>1207</v>
      </c>
      <c r="AN267" s="129">
        <v>160000</v>
      </c>
      <c r="AO267" s="129" t="s">
        <v>198</v>
      </c>
      <c r="AP267" s="130" t="s">
        <v>192</v>
      </c>
      <c r="AQ267" s="131">
        <v>160000</v>
      </c>
      <c r="AR267" s="132">
        <v>30400</v>
      </c>
      <c r="AS267" s="132">
        <v>190400</v>
      </c>
      <c r="AT267" s="132">
        <v>480000</v>
      </c>
      <c r="AU267" s="132">
        <v>571200</v>
      </c>
      <c r="AV267" s="133">
        <f t="shared" si="184"/>
        <v>170567</v>
      </c>
      <c r="AW267" s="133">
        <f t="shared" si="185"/>
        <v>511701</v>
      </c>
      <c r="AX267" s="133">
        <f t="shared" si="186"/>
        <v>74315</v>
      </c>
      <c r="AY267" s="134">
        <v>0.1452</v>
      </c>
      <c r="AZ267" s="5"/>
      <c r="BA267" s="7"/>
      <c r="BB267" s="7"/>
    </row>
    <row r="268" spans="1:54" ht="40.5">
      <c r="A268" s="160" t="s">
        <v>1208</v>
      </c>
      <c r="B268" s="160" t="s">
        <v>1208</v>
      </c>
      <c r="C268" s="161"/>
      <c r="D268" s="105" t="s">
        <v>1209</v>
      </c>
      <c r="E268" s="105" t="s">
        <v>1210</v>
      </c>
      <c r="F268" s="162" t="s">
        <v>185</v>
      </c>
      <c r="G268" s="163">
        <v>20</v>
      </c>
      <c r="H268" s="163" t="s">
        <v>186</v>
      </c>
      <c r="I268" s="164" t="s">
        <v>381</v>
      </c>
      <c r="J268" s="165">
        <v>46218</v>
      </c>
      <c r="K268" s="166" t="s">
        <v>1211</v>
      </c>
      <c r="L268" s="167" t="s">
        <v>194</v>
      </c>
      <c r="M268" s="167" t="s">
        <v>883</v>
      </c>
      <c r="N268" s="168">
        <v>79000</v>
      </c>
      <c r="O268" s="167" t="s">
        <v>191</v>
      </c>
      <c r="P268" s="167" t="s">
        <v>192</v>
      </c>
      <c r="Q268" s="169">
        <v>66386.55</v>
      </c>
      <c r="R268" s="170">
        <v>12613</v>
      </c>
      <c r="S268" s="170">
        <v>79000</v>
      </c>
      <c r="T268" s="171">
        <v>1327731</v>
      </c>
      <c r="U268" s="171">
        <v>1580000</v>
      </c>
      <c r="V268" s="172" t="s">
        <v>381</v>
      </c>
      <c r="W268" s="173">
        <v>46218</v>
      </c>
      <c r="X268" s="174" t="s">
        <v>1212</v>
      </c>
      <c r="Y268" s="175" t="s">
        <v>194</v>
      </c>
      <c r="Z268" s="175" t="s">
        <v>1050</v>
      </c>
      <c r="AA268" s="176">
        <v>79000</v>
      </c>
      <c r="AB268" s="175" t="s">
        <v>191</v>
      </c>
      <c r="AC268" s="175" t="s">
        <v>192</v>
      </c>
      <c r="AD268" s="177">
        <v>66386.55</v>
      </c>
      <c r="AE268" s="178">
        <v>12613</v>
      </c>
      <c r="AF268" s="178">
        <v>79000</v>
      </c>
      <c r="AG268" s="179">
        <v>1327731</v>
      </c>
      <c r="AH268" s="179">
        <v>1580000</v>
      </c>
      <c r="AI268" s="180" t="s">
        <v>381</v>
      </c>
      <c r="AJ268" s="181">
        <v>46218</v>
      </c>
      <c r="AK268" s="182" t="s">
        <v>1213</v>
      </c>
      <c r="AL268" s="180" t="s">
        <v>194</v>
      </c>
      <c r="AM268" s="180" t="s">
        <v>1214</v>
      </c>
      <c r="AN268" s="183">
        <v>79000</v>
      </c>
      <c r="AO268" s="180" t="s">
        <v>191</v>
      </c>
      <c r="AP268" s="180" t="s">
        <v>192</v>
      </c>
      <c r="AQ268" s="184">
        <v>66386.55</v>
      </c>
      <c r="AR268" s="185">
        <v>12613</v>
      </c>
      <c r="AS268" s="185">
        <v>79000</v>
      </c>
      <c r="AT268" s="186">
        <v>1327731</v>
      </c>
      <c r="AU268" s="186">
        <v>1580000</v>
      </c>
      <c r="AV268" s="133">
        <f t="shared" si="184"/>
        <v>79000</v>
      </c>
      <c r="AW268" s="133">
        <f t="shared" si="185"/>
        <v>1580000</v>
      </c>
      <c r="AX268" s="133">
        <f t="shared" si="186"/>
        <v>0</v>
      </c>
      <c r="AY268" s="187">
        <v>0</v>
      </c>
    </row>
    <row r="269" spans="1:54" ht="108">
      <c r="A269" s="160" t="s">
        <v>1208</v>
      </c>
      <c r="B269" s="160" t="s">
        <v>1208</v>
      </c>
      <c r="C269" s="161"/>
      <c r="D269" s="105" t="s">
        <v>1215</v>
      </c>
      <c r="E269" s="105" t="s">
        <v>1216</v>
      </c>
      <c r="F269" s="162" t="s">
        <v>185</v>
      </c>
      <c r="G269" s="163">
        <v>19</v>
      </c>
      <c r="H269" s="163" t="s">
        <v>186</v>
      </c>
      <c r="I269" s="164" t="s">
        <v>381</v>
      </c>
      <c r="J269" s="165">
        <v>46224</v>
      </c>
      <c r="K269" s="166" t="s">
        <v>1217</v>
      </c>
      <c r="L269" s="167" t="s">
        <v>194</v>
      </c>
      <c r="M269" s="167" t="s">
        <v>1218</v>
      </c>
      <c r="N269" s="168">
        <v>2230000</v>
      </c>
      <c r="O269" s="167" t="s">
        <v>198</v>
      </c>
      <c r="P269" s="167" t="s">
        <v>192</v>
      </c>
      <c r="Q269" s="188">
        <v>2230000</v>
      </c>
      <c r="R269" s="189">
        <v>423700</v>
      </c>
      <c r="S269" s="189">
        <v>2653700</v>
      </c>
      <c r="T269" s="189">
        <v>42370000</v>
      </c>
      <c r="U269" s="171">
        <v>50420300</v>
      </c>
      <c r="V269" s="172" t="s">
        <v>381</v>
      </c>
      <c r="W269" s="173">
        <v>46225</v>
      </c>
      <c r="X269" s="174" t="s">
        <v>1219</v>
      </c>
      <c r="Y269" s="175" t="s">
        <v>194</v>
      </c>
      <c r="Z269" s="175" t="s">
        <v>1220</v>
      </c>
      <c r="AA269" s="176">
        <v>2220000</v>
      </c>
      <c r="AB269" s="175" t="s">
        <v>198</v>
      </c>
      <c r="AC269" s="175" t="s">
        <v>192</v>
      </c>
      <c r="AD269" s="177">
        <v>2220000</v>
      </c>
      <c r="AE269" s="178">
        <v>421800</v>
      </c>
      <c r="AF269" s="178">
        <v>2641800</v>
      </c>
      <c r="AG269" s="179">
        <v>42180000</v>
      </c>
      <c r="AH269" s="179">
        <v>50194200</v>
      </c>
      <c r="AI269" s="180" t="s">
        <v>381</v>
      </c>
      <c r="AJ269" s="181">
        <v>46225</v>
      </c>
      <c r="AK269" s="182" t="s">
        <v>1221</v>
      </c>
      <c r="AL269" s="180" t="s">
        <v>194</v>
      </c>
      <c r="AM269" s="180" t="s">
        <v>1222</v>
      </c>
      <c r="AN269" s="183">
        <v>2302000</v>
      </c>
      <c r="AO269" s="180" t="s">
        <v>198</v>
      </c>
      <c r="AP269" s="180" t="s">
        <v>192</v>
      </c>
      <c r="AQ269" s="184">
        <v>2302000</v>
      </c>
      <c r="AR269" s="185">
        <v>437380</v>
      </c>
      <c r="AS269" s="185">
        <v>2739380</v>
      </c>
      <c r="AT269" s="186">
        <v>43738000</v>
      </c>
      <c r="AU269" s="186">
        <v>52048220</v>
      </c>
      <c r="AV269" s="133">
        <f t="shared" si="184"/>
        <v>2678293</v>
      </c>
      <c r="AW269" s="133">
        <f t="shared" si="185"/>
        <v>50887567</v>
      </c>
      <c r="AX269" s="133">
        <f t="shared" si="186"/>
        <v>1011487</v>
      </c>
      <c r="AY269" s="187">
        <v>1.9900000000000001E-2</v>
      </c>
    </row>
    <row r="270" spans="1:54" ht="135">
      <c r="A270" s="160" t="s">
        <v>1208</v>
      </c>
      <c r="B270" s="160" t="s">
        <v>1208</v>
      </c>
      <c r="C270" s="161"/>
      <c r="D270" s="105" t="s">
        <v>1223</v>
      </c>
      <c r="E270" s="105" t="s">
        <v>1224</v>
      </c>
      <c r="F270" s="162" t="s">
        <v>185</v>
      </c>
      <c r="G270" s="163">
        <v>60</v>
      </c>
      <c r="H270" s="163" t="s">
        <v>186</v>
      </c>
      <c r="I270" s="164" t="s">
        <v>381</v>
      </c>
      <c r="J270" s="165">
        <v>46217</v>
      </c>
      <c r="K270" s="166" t="s">
        <v>1225</v>
      </c>
      <c r="L270" s="167" t="s">
        <v>194</v>
      </c>
      <c r="M270" s="167" t="s">
        <v>883</v>
      </c>
      <c r="N270" s="168">
        <v>179900</v>
      </c>
      <c r="O270" s="167" t="s">
        <v>191</v>
      </c>
      <c r="P270" s="167" t="s">
        <v>192</v>
      </c>
      <c r="Q270" s="169">
        <v>151176.47</v>
      </c>
      <c r="R270" s="170">
        <v>28724</v>
      </c>
      <c r="S270" s="170">
        <v>179900</v>
      </c>
      <c r="T270" s="171">
        <v>9070588</v>
      </c>
      <c r="U270" s="171">
        <v>10794000</v>
      </c>
      <c r="V270" s="172" t="s">
        <v>381</v>
      </c>
      <c r="W270" s="173">
        <v>46217</v>
      </c>
      <c r="X270" s="174" t="s">
        <v>1226</v>
      </c>
      <c r="Y270" s="175" t="s">
        <v>194</v>
      </c>
      <c r="Z270" s="175" t="s">
        <v>1050</v>
      </c>
      <c r="AA270" s="176">
        <v>179900</v>
      </c>
      <c r="AB270" s="175" t="s">
        <v>191</v>
      </c>
      <c r="AC270" s="175" t="s">
        <v>192</v>
      </c>
      <c r="AD270" s="177">
        <v>151176.47</v>
      </c>
      <c r="AE270" s="178">
        <v>28724</v>
      </c>
      <c r="AF270" s="178">
        <v>179900</v>
      </c>
      <c r="AG270" s="179">
        <v>9070588</v>
      </c>
      <c r="AH270" s="179">
        <v>10794000</v>
      </c>
      <c r="AI270" s="180" t="s">
        <v>381</v>
      </c>
      <c r="AJ270" s="181">
        <v>46217</v>
      </c>
      <c r="AK270" s="182" t="s">
        <v>1227</v>
      </c>
      <c r="AL270" s="180" t="s">
        <v>194</v>
      </c>
      <c r="AM270" s="180" t="s">
        <v>1228</v>
      </c>
      <c r="AN270" s="183">
        <v>189900</v>
      </c>
      <c r="AO270" s="180" t="s">
        <v>191</v>
      </c>
      <c r="AP270" s="180" t="s">
        <v>192</v>
      </c>
      <c r="AQ270" s="184">
        <v>159579.82999999999</v>
      </c>
      <c r="AR270" s="185">
        <v>30320</v>
      </c>
      <c r="AS270" s="185">
        <v>189900</v>
      </c>
      <c r="AT270" s="186">
        <v>9574790</v>
      </c>
      <c r="AU270" s="186">
        <v>11394000</v>
      </c>
      <c r="AV270" s="133">
        <f t="shared" si="184"/>
        <v>183233</v>
      </c>
      <c r="AW270" s="133">
        <f t="shared" si="185"/>
        <v>10993980</v>
      </c>
      <c r="AX270" s="133">
        <f t="shared" si="186"/>
        <v>346410</v>
      </c>
      <c r="AY270" s="187">
        <v>3.15E-2</v>
      </c>
    </row>
    <row r="271" spans="1:54" ht="148.5">
      <c r="A271" s="160" t="s">
        <v>1208</v>
      </c>
      <c r="B271" s="160" t="s">
        <v>1208</v>
      </c>
      <c r="C271" s="161"/>
      <c r="D271" s="105" t="s">
        <v>1229</v>
      </c>
      <c r="E271" s="105" t="s">
        <v>1230</v>
      </c>
      <c r="F271" s="162" t="s">
        <v>185</v>
      </c>
      <c r="G271" s="163">
        <v>4</v>
      </c>
      <c r="H271" s="163" t="s">
        <v>186</v>
      </c>
      <c r="I271" s="164" t="s">
        <v>381</v>
      </c>
      <c r="J271" s="165">
        <v>46231</v>
      </c>
      <c r="K271" s="166" t="s">
        <v>1231</v>
      </c>
      <c r="L271" s="167" t="s">
        <v>189</v>
      </c>
      <c r="M271" s="167" t="s">
        <v>1232</v>
      </c>
      <c r="N271" s="168">
        <v>613000</v>
      </c>
      <c r="O271" s="167" t="s">
        <v>191</v>
      </c>
      <c r="P271" s="167" t="s">
        <v>192</v>
      </c>
      <c r="Q271" s="169">
        <v>515126.05</v>
      </c>
      <c r="R271" s="170">
        <v>97874</v>
      </c>
      <c r="S271" s="170">
        <v>613000</v>
      </c>
      <c r="T271" s="171">
        <v>2060504</v>
      </c>
      <c r="U271" s="171">
        <v>2452000</v>
      </c>
      <c r="V271" s="172" t="s">
        <v>381</v>
      </c>
      <c r="W271" s="173">
        <v>46217</v>
      </c>
      <c r="X271" s="174" t="s">
        <v>1233</v>
      </c>
      <c r="Y271" s="175" t="s">
        <v>189</v>
      </c>
      <c r="Z271" s="175" t="s">
        <v>1234</v>
      </c>
      <c r="AA271" s="176">
        <v>519900</v>
      </c>
      <c r="AB271" s="175" t="s">
        <v>191</v>
      </c>
      <c r="AC271" s="175" t="s">
        <v>192</v>
      </c>
      <c r="AD271" s="177">
        <v>436890.76</v>
      </c>
      <c r="AE271" s="178">
        <v>83009</v>
      </c>
      <c r="AF271" s="178">
        <v>519900</v>
      </c>
      <c r="AG271" s="179">
        <v>1747563</v>
      </c>
      <c r="AH271" s="179">
        <v>2079600</v>
      </c>
      <c r="AI271" s="180" t="s">
        <v>381</v>
      </c>
      <c r="AJ271" s="181">
        <v>46217</v>
      </c>
      <c r="AK271" s="182" t="s">
        <v>1235</v>
      </c>
      <c r="AL271" s="180" t="s">
        <v>194</v>
      </c>
      <c r="AM271" s="180" t="s">
        <v>1050</v>
      </c>
      <c r="AN271" s="183">
        <v>419000</v>
      </c>
      <c r="AO271" s="180" t="s">
        <v>191</v>
      </c>
      <c r="AP271" s="180" t="s">
        <v>192</v>
      </c>
      <c r="AQ271" s="184">
        <v>352100.84</v>
      </c>
      <c r="AR271" s="185">
        <v>66899</v>
      </c>
      <c r="AS271" s="185">
        <v>419000</v>
      </c>
      <c r="AT271" s="186">
        <v>1408403</v>
      </c>
      <c r="AU271" s="186">
        <v>1676000</v>
      </c>
      <c r="AV271" s="133">
        <f t="shared" si="184"/>
        <v>517300</v>
      </c>
      <c r="AW271" s="133">
        <f t="shared" si="185"/>
        <v>2069200</v>
      </c>
      <c r="AX271" s="133">
        <f t="shared" si="186"/>
        <v>388105</v>
      </c>
      <c r="AY271" s="187">
        <v>0.18759999999999999</v>
      </c>
    </row>
    <row r="272" spans="1:54" ht="216">
      <c r="A272" s="160" t="s">
        <v>1208</v>
      </c>
      <c r="B272" s="160" t="s">
        <v>1208</v>
      </c>
      <c r="C272" s="161"/>
      <c r="D272" s="105" t="s">
        <v>1236</v>
      </c>
      <c r="E272" s="105" t="s">
        <v>1237</v>
      </c>
      <c r="F272" s="162" t="s">
        <v>185</v>
      </c>
      <c r="G272" s="163">
        <v>8</v>
      </c>
      <c r="H272" s="163" t="s">
        <v>186</v>
      </c>
      <c r="I272" s="164" t="s">
        <v>187</v>
      </c>
      <c r="J272" s="165">
        <v>46204</v>
      </c>
      <c r="K272" s="166" t="s">
        <v>1238</v>
      </c>
      <c r="L272" s="167" t="s">
        <v>194</v>
      </c>
      <c r="M272" s="167" t="s">
        <v>1239</v>
      </c>
      <c r="N272" s="168">
        <v>449900</v>
      </c>
      <c r="O272" s="167" t="s">
        <v>191</v>
      </c>
      <c r="P272" s="167" t="s">
        <v>192</v>
      </c>
      <c r="Q272" s="169">
        <v>378067.23</v>
      </c>
      <c r="R272" s="170">
        <v>71833</v>
      </c>
      <c r="S272" s="170">
        <v>449900</v>
      </c>
      <c r="T272" s="171">
        <v>3024538</v>
      </c>
      <c r="U272" s="171">
        <v>3599200</v>
      </c>
      <c r="V272" s="172" t="s">
        <v>187</v>
      </c>
      <c r="W272" s="173">
        <v>46204</v>
      </c>
      <c r="X272" s="174" t="s">
        <v>1240</v>
      </c>
      <c r="Y272" s="175" t="s">
        <v>194</v>
      </c>
      <c r="Z272" s="175" t="s">
        <v>883</v>
      </c>
      <c r="AA272" s="176">
        <v>349900</v>
      </c>
      <c r="AB272" s="175" t="s">
        <v>191</v>
      </c>
      <c r="AC272" s="175" t="s">
        <v>192</v>
      </c>
      <c r="AD272" s="177">
        <v>294033.61</v>
      </c>
      <c r="AE272" s="178">
        <v>55866</v>
      </c>
      <c r="AF272" s="178">
        <v>349900</v>
      </c>
      <c r="AG272" s="179">
        <v>2352269</v>
      </c>
      <c r="AH272" s="179">
        <v>2799200</v>
      </c>
      <c r="AI272" s="180" t="s">
        <v>187</v>
      </c>
      <c r="AJ272" s="181">
        <v>46204</v>
      </c>
      <c r="AK272" s="182" t="s">
        <v>1241</v>
      </c>
      <c r="AL272" s="180" t="s">
        <v>194</v>
      </c>
      <c r="AM272" s="180" t="s">
        <v>1242</v>
      </c>
      <c r="AN272" s="183">
        <v>399900</v>
      </c>
      <c r="AO272" s="180" t="s">
        <v>191</v>
      </c>
      <c r="AP272" s="180" t="s">
        <v>192</v>
      </c>
      <c r="AQ272" s="184">
        <v>336050.42</v>
      </c>
      <c r="AR272" s="185">
        <v>63850</v>
      </c>
      <c r="AS272" s="185">
        <v>399900</v>
      </c>
      <c r="AT272" s="186">
        <v>2688403</v>
      </c>
      <c r="AU272" s="186">
        <v>3199200</v>
      </c>
      <c r="AV272" s="133">
        <f t="shared" si="184"/>
        <v>399900</v>
      </c>
      <c r="AW272" s="133">
        <f t="shared" si="185"/>
        <v>3199200</v>
      </c>
      <c r="AX272" s="133">
        <f t="shared" si="186"/>
        <v>400000</v>
      </c>
      <c r="AY272" s="187">
        <v>0.125</v>
      </c>
    </row>
    <row r="273" spans="1:51" ht="40.5">
      <c r="A273" s="160" t="s">
        <v>1208</v>
      </c>
      <c r="B273" s="160" t="s">
        <v>1208</v>
      </c>
      <c r="C273" s="161"/>
      <c r="D273" s="105" t="s">
        <v>1243</v>
      </c>
      <c r="E273" s="105" t="s">
        <v>1244</v>
      </c>
      <c r="F273" s="162" t="s">
        <v>185</v>
      </c>
      <c r="G273" s="163">
        <v>500</v>
      </c>
      <c r="H273" s="163" t="s">
        <v>186</v>
      </c>
      <c r="I273" s="164" t="s">
        <v>381</v>
      </c>
      <c r="J273" s="165">
        <v>46217</v>
      </c>
      <c r="K273" s="166" t="s">
        <v>1245</v>
      </c>
      <c r="L273" s="167" t="s">
        <v>194</v>
      </c>
      <c r="M273" s="167" t="s">
        <v>1246</v>
      </c>
      <c r="N273" s="168">
        <v>44900</v>
      </c>
      <c r="O273" s="167" t="s">
        <v>191</v>
      </c>
      <c r="P273" s="167" t="s">
        <v>192</v>
      </c>
      <c r="Q273" s="169">
        <v>37731.089999999997</v>
      </c>
      <c r="R273" s="170">
        <v>7169</v>
      </c>
      <c r="S273" s="170">
        <v>44900</v>
      </c>
      <c r="T273" s="171">
        <v>18865546</v>
      </c>
      <c r="U273" s="171">
        <v>22450000</v>
      </c>
      <c r="V273" s="172" t="s">
        <v>381</v>
      </c>
      <c r="W273" s="173">
        <v>46217</v>
      </c>
      <c r="X273" s="174" t="s">
        <v>1247</v>
      </c>
      <c r="Y273" s="175" t="s">
        <v>194</v>
      </c>
      <c r="Z273" s="175" t="s">
        <v>1248</v>
      </c>
      <c r="AA273" s="176">
        <v>51200</v>
      </c>
      <c r="AB273" s="175" t="s">
        <v>191</v>
      </c>
      <c r="AC273" s="175" t="s">
        <v>192</v>
      </c>
      <c r="AD273" s="177">
        <v>43025.21</v>
      </c>
      <c r="AE273" s="178">
        <v>8175</v>
      </c>
      <c r="AF273" s="178">
        <v>51200</v>
      </c>
      <c r="AG273" s="179">
        <v>21512605</v>
      </c>
      <c r="AH273" s="179">
        <v>25600000</v>
      </c>
      <c r="AI273" s="180" t="s">
        <v>381</v>
      </c>
      <c r="AJ273" s="181">
        <v>46217</v>
      </c>
      <c r="AK273" s="182" t="s">
        <v>1249</v>
      </c>
      <c r="AL273" s="180" t="s">
        <v>194</v>
      </c>
      <c r="AM273" s="180" t="s">
        <v>1228</v>
      </c>
      <c r="AN273" s="183">
        <v>39900</v>
      </c>
      <c r="AO273" s="180" t="s">
        <v>191</v>
      </c>
      <c r="AP273" s="180" t="s">
        <v>192</v>
      </c>
      <c r="AQ273" s="184">
        <v>33529.410000000003</v>
      </c>
      <c r="AR273" s="185">
        <v>6371</v>
      </c>
      <c r="AS273" s="185">
        <v>39900</v>
      </c>
      <c r="AT273" s="186">
        <v>16764706</v>
      </c>
      <c r="AU273" s="186">
        <v>19950000</v>
      </c>
      <c r="AV273" s="133">
        <f t="shared" si="184"/>
        <v>45333</v>
      </c>
      <c r="AW273" s="133">
        <f t="shared" si="185"/>
        <v>22666500</v>
      </c>
      <c r="AX273" s="133">
        <f t="shared" si="186"/>
        <v>2831225</v>
      </c>
      <c r="AY273" s="187">
        <v>0.1249</v>
      </c>
    </row>
    <row r="274" spans="1:51" ht="108">
      <c r="A274" s="160" t="s">
        <v>1208</v>
      </c>
      <c r="B274" s="160" t="s">
        <v>1208</v>
      </c>
      <c r="C274" s="105">
        <v>44111905</v>
      </c>
      <c r="D274" s="105" t="s">
        <v>1250</v>
      </c>
      <c r="E274" s="105" t="s">
        <v>1251</v>
      </c>
      <c r="F274" s="162" t="s">
        <v>185</v>
      </c>
      <c r="G274" s="163">
        <v>5</v>
      </c>
      <c r="H274" s="163" t="s">
        <v>186</v>
      </c>
      <c r="I274" s="164" t="s">
        <v>381</v>
      </c>
      <c r="J274" s="165">
        <v>46217</v>
      </c>
      <c r="K274" s="166" t="s">
        <v>1252</v>
      </c>
      <c r="L274" s="167" t="s">
        <v>194</v>
      </c>
      <c r="M274" s="167" t="s">
        <v>883</v>
      </c>
      <c r="N274" s="168">
        <v>280000</v>
      </c>
      <c r="O274" s="167" t="s">
        <v>191</v>
      </c>
      <c r="P274" s="167" t="s">
        <v>192</v>
      </c>
      <c r="Q274" s="169">
        <v>235294.12</v>
      </c>
      <c r="R274" s="170">
        <v>44706</v>
      </c>
      <c r="S274" s="170">
        <v>280000</v>
      </c>
      <c r="T274" s="171">
        <v>1176471</v>
      </c>
      <c r="U274" s="171">
        <v>1400000</v>
      </c>
      <c r="V274" s="172" t="s">
        <v>381</v>
      </c>
      <c r="W274" s="173">
        <v>46217</v>
      </c>
      <c r="X274" s="174" t="s">
        <v>1253</v>
      </c>
      <c r="Y274" s="175" t="s">
        <v>189</v>
      </c>
      <c r="Z274" s="175" t="s">
        <v>894</v>
      </c>
      <c r="AA274" s="176">
        <v>229900</v>
      </c>
      <c r="AB274" s="175" t="s">
        <v>191</v>
      </c>
      <c r="AC274" s="175" t="s">
        <v>192</v>
      </c>
      <c r="AD274" s="177">
        <v>193193.28</v>
      </c>
      <c r="AE274" s="178">
        <v>36707</v>
      </c>
      <c r="AF274" s="178">
        <v>229900</v>
      </c>
      <c r="AG274" s="179">
        <v>965966</v>
      </c>
      <c r="AH274" s="179">
        <v>1149500</v>
      </c>
      <c r="AI274" s="180" t="s">
        <v>381</v>
      </c>
      <c r="AJ274" s="181">
        <v>46217</v>
      </c>
      <c r="AK274" s="182" t="s">
        <v>1254</v>
      </c>
      <c r="AL274" s="180" t="s">
        <v>189</v>
      </c>
      <c r="AM274" s="180" t="s">
        <v>1050</v>
      </c>
      <c r="AN274" s="183">
        <v>284900</v>
      </c>
      <c r="AO274" s="180" t="s">
        <v>191</v>
      </c>
      <c r="AP274" s="180" t="s">
        <v>192</v>
      </c>
      <c r="AQ274" s="184">
        <v>239411.76</v>
      </c>
      <c r="AR274" s="185">
        <v>45488</v>
      </c>
      <c r="AS274" s="185">
        <v>284900</v>
      </c>
      <c r="AT274" s="186">
        <v>1197059</v>
      </c>
      <c r="AU274" s="186">
        <v>1424500</v>
      </c>
      <c r="AV274" s="133">
        <f t="shared" si="184"/>
        <v>264933</v>
      </c>
      <c r="AW274" s="133">
        <f t="shared" si="185"/>
        <v>1324665</v>
      </c>
      <c r="AX274" s="133">
        <f t="shared" si="186"/>
        <v>152193</v>
      </c>
      <c r="AY274" s="187">
        <v>0.1149</v>
      </c>
    </row>
    <row r="275" spans="1:51" ht="162">
      <c r="A275" s="160" t="s">
        <v>1208</v>
      </c>
      <c r="B275" s="160" t="s">
        <v>1208</v>
      </c>
      <c r="C275" s="161"/>
      <c r="D275" s="163" t="s">
        <v>1255</v>
      </c>
      <c r="E275" s="163" t="s">
        <v>1256</v>
      </c>
      <c r="F275" s="162" t="s">
        <v>185</v>
      </c>
      <c r="G275" s="163">
        <v>12</v>
      </c>
      <c r="H275" s="163" t="s">
        <v>186</v>
      </c>
      <c r="I275" s="164" t="s">
        <v>381</v>
      </c>
      <c r="J275" s="165">
        <v>46224</v>
      </c>
      <c r="K275" s="166" t="s">
        <v>1257</v>
      </c>
      <c r="L275" s="167" t="s">
        <v>194</v>
      </c>
      <c r="M275" s="167" t="s">
        <v>1258</v>
      </c>
      <c r="N275" s="168">
        <v>540000</v>
      </c>
      <c r="O275" s="167" t="s">
        <v>191</v>
      </c>
      <c r="P275" s="167" t="s">
        <v>192</v>
      </c>
      <c r="Q275" s="169">
        <v>453781.51</v>
      </c>
      <c r="R275" s="170">
        <v>86218</v>
      </c>
      <c r="S275" s="170">
        <v>540000</v>
      </c>
      <c r="T275" s="171">
        <v>5445378</v>
      </c>
      <c r="U275" s="171">
        <v>6480000</v>
      </c>
      <c r="V275" s="172" t="s">
        <v>381</v>
      </c>
      <c r="W275" s="173">
        <v>46224</v>
      </c>
      <c r="X275" s="174" t="s">
        <v>1259</v>
      </c>
      <c r="Y275" s="175" t="s">
        <v>194</v>
      </c>
      <c r="Z275" s="175" t="s">
        <v>883</v>
      </c>
      <c r="AA275" s="176">
        <v>608000</v>
      </c>
      <c r="AB275" s="175" t="s">
        <v>191</v>
      </c>
      <c r="AC275" s="175" t="s">
        <v>192</v>
      </c>
      <c r="AD275" s="177">
        <v>510924.37</v>
      </c>
      <c r="AE275" s="178">
        <v>97076</v>
      </c>
      <c r="AF275" s="178">
        <v>608000</v>
      </c>
      <c r="AG275" s="179">
        <v>6131092</v>
      </c>
      <c r="AH275" s="179">
        <v>7296000</v>
      </c>
      <c r="AI275" s="180" t="s">
        <v>381</v>
      </c>
      <c r="AJ275" s="181">
        <v>46224</v>
      </c>
      <c r="AK275" s="182" t="s">
        <v>1260</v>
      </c>
      <c r="AL275" s="180" t="s">
        <v>194</v>
      </c>
      <c r="AM275" s="180" t="s">
        <v>1261</v>
      </c>
      <c r="AN275" s="183">
        <v>608000</v>
      </c>
      <c r="AO275" s="180" t="s">
        <v>191</v>
      </c>
      <c r="AP275" s="180" t="s">
        <v>192</v>
      </c>
      <c r="AQ275" s="184">
        <v>510924.37</v>
      </c>
      <c r="AR275" s="185">
        <v>97076</v>
      </c>
      <c r="AS275" s="185">
        <v>608000</v>
      </c>
      <c r="AT275" s="186">
        <v>6131092</v>
      </c>
      <c r="AU275" s="186">
        <v>7296000</v>
      </c>
      <c r="AV275" s="133">
        <f t="shared" si="184"/>
        <v>585333</v>
      </c>
      <c r="AW275" s="133">
        <f t="shared" si="185"/>
        <v>7023996</v>
      </c>
      <c r="AX275" s="133">
        <f t="shared" si="186"/>
        <v>471118</v>
      </c>
      <c r="AY275" s="187">
        <v>6.7100000000000007E-2</v>
      </c>
    </row>
    <row r="276" spans="1:51" ht="148.5">
      <c r="A276" s="160" t="s">
        <v>1208</v>
      </c>
      <c r="B276" s="160" t="s">
        <v>1208</v>
      </c>
      <c r="C276" s="161"/>
      <c r="D276" s="163" t="s">
        <v>1262</v>
      </c>
      <c r="E276" s="163" t="s">
        <v>1263</v>
      </c>
      <c r="F276" s="162" t="s">
        <v>185</v>
      </c>
      <c r="G276" s="163">
        <v>4</v>
      </c>
      <c r="H276" s="163" t="s">
        <v>186</v>
      </c>
      <c r="I276" s="164" t="s">
        <v>381</v>
      </c>
      <c r="J276" s="165">
        <v>46217</v>
      </c>
      <c r="K276" s="166" t="s">
        <v>1264</v>
      </c>
      <c r="L276" s="167" t="s">
        <v>194</v>
      </c>
      <c r="M276" s="167" t="s">
        <v>1265</v>
      </c>
      <c r="N276" s="168">
        <v>973750</v>
      </c>
      <c r="O276" s="167" t="s">
        <v>191</v>
      </c>
      <c r="P276" s="167" t="s">
        <v>192</v>
      </c>
      <c r="Q276" s="169">
        <v>818277.31</v>
      </c>
      <c r="R276" s="170">
        <v>155473</v>
      </c>
      <c r="S276" s="170">
        <v>973750</v>
      </c>
      <c r="T276" s="171">
        <v>3273109</v>
      </c>
      <c r="U276" s="171">
        <v>3895000</v>
      </c>
      <c r="V276" s="172" t="s">
        <v>381</v>
      </c>
      <c r="W276" s="173">
        <v>46217</v>
      </c>
      <c r="X276" s="174" t="s">
        <v>1266</v>
      </c>
      <c r="Y276" s="175" t="s">
        <v>194</v>
      </c>
      <c r="Z276" s="175" t="s">
        <v>1267</v>
      </c>
      <c r="AA276" s="176">
        <v>1050000</v>
      </c>
      <c r="AB276" s="175" t="s">
        <v>191</v>
      </c>
      <c r="AC276" s="175" t="s">
        <v>192</v>
      </c>
      <c r="AD276" s="177">
        <v>882352.94</v>
      </c>
      <c r="AE276" s="178">
        <v>167647</v>
      </c>
      <c r="AF276" s="178">
        <v>1050000</v>
      </c>
      <c r="AG276" s="179">
        <v>3529412</v>
      </c>
      <c r="AH276" s="179">
        <v>4200000</v>
      </c>
      <c r="AI276" s="180" t="s">
        <v>381</v>
      </c>
      <c r="AJ276" s="181">
        <v>46217</v>
      </c>
      <c r="AK276" s="182" t="s">
        <v>1268</v>
      </c>
      <c r="AL276" s="180" t="s">
        <v>194</v>
      </c>
      <c r="AM276" s="180" t="s">
        <v>1269</v>
      </c>
      <c r="AN276" s="183">
        <v>1149000</v>
      </c>
      <c r="AO276" s="180" t="s">
        <v>191</v>
      </c>
      <c r="AP276" s="180" t="s">
        <v>192</v>
      </c>
      <c r="AQ276" s="184">
        <v>965546.22</v>
      </c>
      <c r="AR276" s="185">
        <v>183454</v>
      </c>
      <c r="AS276" s="185">
        <v>1149000</v>
      </c>
      <c r="AT276" s="186">
        <v>3862185</v>
      </c>
      <c r="AU276" s="186">
        <v>4596000</v>
      </c>
      <c r="AV276" s="133">
        <f t="shared" si="184"/>
        <v>1057583</v>
      </c>
      <c r="AW276" s="133">
        <f t="shared" si="185"/>
        <v>4230332</v>
      </c>
      <c r="AX276" s="133">
        <f t="shared" si="186"/>
        <v>351483</v>
      </c>
      <c r="AY276" s="187">
        <v>8.3099999999999993E-2</v>
      </c>
    </row>
    <row r="277" spans="1:51" ht="189">
      <c r="A277" s="160" t="s">
        <v>1208</v>
      </c>
      <c r="B277" s="160" t="s">
        <v>1208</v>
      </c>
      <c r="C277" s="161"/>
      <c r="D277" s="163" t="s">
        <v>1270</v>
      </c>
      <c r="E277" s="163" t="s">
        <v>1271</v>
      </c>
      <c r="F277" s="162" t="s">
        <v>185</v>
      </c>
      <c r="G277" s="163">
        <v>14</v>
      </c>
      <c r="H277" s="163" t="s">
        <v>186</v>
      </c>
      <c r="I277" s="164" t="s">
        <v>381</v>
      </c>
      <c r="J277" s="165">
        <v>46217</v>
      </c>
      <c r="K277" s="166" t="s">
        <v>1272</v>
      </c>
      <c r="L277" s="167" t="s">
        <v>194</v>
      </c>
      <c r="M277" s="167" t="s">
        <v>1050</v>
      </c>
      <c r="N277" s="168">
        <v>3399900</v>
      </c>
      <c r="O277" s="167" t="s">
        <v>191</v>
      </c>
      <c r="P277" s="167" t="s">
        <v>192</v>
      </c>
      <c r="Q277" s="169">
        <v>2857058.82</v>
      </c>
      <c r="R277" s="170">
        <v>542841</v>
      </c>
      <c r="S277" s="170">
        <v>3399900</v>
      </c>
      <c r="T277" s="171">
        <v>39998824</v>
      </c>
      <c r="U277" s="171">
        <v>47598600</v>
      </c>
      <c r="V277" s="172" t="s">
        <v>381</v>
      </c>
      <c r="W277" s="173">
        <v>46217</v>
      </c>
      <c r="X277" s="174" t="s">
        <v>1273</v>
      </c>
      <c r="Y277" s="175" t="s">
        <v>189</v>
      </c>
      <c r="Z277" s="175" t="s">
        <v>1269</v>
      </c>
      <c r="AA277" s="176">
        <v>3429000</v>
      </c>
      <c r="AB277" s="175" t="s">
        <v>191</v>
      </c>
      <c r="AC277" s="175" t="s">
        <v>192</v>
      </c>
      <c r="AD277" s="177">
        <v>2881512.61</v>
      </c>
      <c r="AE277" s="178">
        <v>547487</v>
      </c>
      <c r="AF277" s="178">
        <v>3429000</v>
      </c>
      <c r="AG277" s="179">
        <v>40341176</v>
      </c>
      <c r="AH277" s="179">
        <v>48006000</v>
      </c>
      <c r="AI277" s="180" t="s">
        <v>381</v>
      </c>
      <c r="AJ277" s="181">
        <v>46217</v>
      </c>
      <c r="AK277" s="182" t="s">
        <v>1274</v>
      </c>
      <c r="AL277" s="180" t="s">
        <v>189</v>
      </c>
      <c r="AM277" s="180" t="s">
        <v>883</v>
      </c>
      <c r="AN277" s="183">
        <v>3199900</v>
      </c>
      <c r="AO277" s="180" t="s">
        <v>191</v>
      </c>
      <c r="AP277" s="180" t="s">
        <v>192</v>
      </c>
      <c r="AQ277" s="184">
        <v>2688991.6</v>
      </c>
      <c r="AR277" s="185">
        <v>510908</v>
      </c>
      <c r="AS277" s="185">
        <v>3199900</v>
      </c>
      <c r="AT277" s="186">
        <v>37645882</v>
      </c>
      <c r="AU277" s="186">
        <v>44798600</v>
      </c>
      <c r="AV277" s="133">
        <f t="shared" si="184"/>
        <v>3342933</v>
      </c>
      <c r="AW277" s="133">
        <f t="shared" si="185"/>
        <v>46801062</v>
      </c>
      <c r="AX277" s="133">
        <f t="shared" si="186"/>
        <v>1746109</v>
      </c>
      <c r="AY277" s="187">
        <v>3.73E-2</v>
      </c>
    </row>
    <row r="278" spans="1:51" ht="54">
      <c r="A278" s="160" t="s">
        <v>1208</v>
      </c>
      <c r="B278" s="160" t="s">
        <v>1208</v>
      </c>
      <c r="C278" s="161"/>
      <c r="D278" s="163" t="s">
        <v>1275</v>
      </c>
      <c r="E278" s="163" t="s">
        <v>1276</v>
      </c>
      <c r="F278" s="162" t="s">
        <v>185</v>
      </c>
      <c r="G278" s="163">
        <v>14</v>
      </c>
      <c r="H278" s="163" t="s">
        <v>186</v>
      </c>
      <c r="I278" s="164" t="s">
        <v>381</v>
      </c>
      <c r="J278" s="165">
        <v>46231</v>
      </c>
      <c r="K278" s="166" t="s">
        <v>1277</v>
      </c>
      <c r="L278" s="167" t="s">
        <v>189</v>
      </c>
      <c r="M278" s="167" t="s">
        <v>1278</v>
      </c>
      <c r="N278" s="168">
        <v>490000</v>
      </c>
      <c r="O278" s="167" t="s">
        <v>191</v>
      </c>
      <c r="P278" s="167" t="s">
        <v>192</v>
      </c>
      <c r="Q278" s="169">
        <v>411764.71</v>
      </c>
      <c r="R278" s="170">
        <v>78235</v>
      </c>
      <c r="S278" s="170">
        <v>490000</v>
      </c>
      <c r="T278" s="171">
        <v>5764706</v>
      </c>
      <c r="U278" s="171">
        <v>6860000</v>
      </c>
      <c r="V278" s="172" t="s">
        <v>381</v>
      </c>
      <c r="W278" s="173">
        <v>46218</v>
      </c>
      <c r="X278" s="174" t="s">
        <v>1279</v>
      </c>
      <c r="Y278" s="175" t="s">
        <v>189</v>
      </c>
      <c r="Z278" s="175" t="s">
        <v>1280</v>
      </c>
      <c r="AA278" s="176">
        <v>413686</v>
      </c>
      <c r="AB278" s="175" t="s">
        <v>198</v>
      </c>
      <c r="AC278" s="175" t="s">
        <v>192</v>
      </c>
      <c r="AD278" s="177">
        <v>413686</v>
      </c>
      <c r="AE278" s="178">
        <v>78600</v>
      </c>
      <c r="AF278" s="178">
        <v>492286</v>
      </c>
      <c r="AG278" s="179">
        <v>5791604</v>
      </c>
      <c r="AH278" s="179">
        <v>6892009</v>
      </c>
      <c r="AI278" s="180" t="s">
        <v>381</v>
      </c>
      <c r="AJ278" s="181">
        <v>46218</v>
      </c>
      <c r="AK278" s="182" t="s">
        <v>1281</v>
      </c>
      <c r="AL278" s="180" t="s">
        <v>194</v>
      </c>
      <c r="AM278" s="180" t="s">
        <v>1269</v>
      </c>
      <c r="AN278" s="183">
        <v>499900</v>
      </c>
      <c r="AO278" s="180" t="s">
        <v>191</v>
      </c>
      <c r="AP278" s="180" t="s">
        <v>192</v>
      </c>
      <c r="AQ278" s="184">
        <v>420084.03</v>
      </c>
      <c r="AR278" s="185">
        <v>79816</v>
      </c>
      <c r="AS278" s="185">
        <v>499900</v>
      </c>
      <c r="AT278" s="186">
        <v>5881176</v>
      </c>
      <c r="AU278" s="186">
        <v>6998600</v>
      </c>
      <c r="AV278" s="133">
        <f t="shared" si="184"/>
        <v>494062</v>
      </c>
      <c r="AW278" s="133">
        <f t="shared" si="185"/>
        <v>6916868</v>
      </c>
      <c r="AX278" s="133">
        <f t="shared" si="186"/>
        <v>72567</v>
      </c>
      <c r="AY278" s="187">
        <v>1.0500000000000001E-2</v>
      </c>
    </row>
    <row r="279" spans="1:51" ht="54">
      <c r="A279" s="160" t="s">
        <v>1208</v>
      </c>
      <c r="B279" s="160" t="s">
        <v>1208</v>
      </c>
      <c r="C279" s="161"/>
      <c r="D279" s="163" t="s">
        <v>1282</v>
      </c>
      <c r="E279" s="163" t="s">
        <v>1283</v>
      </c>
      <c r="F279" s="162" t="s">
        <v>185</v>
      </c>
      <c r="G279" s="163">
        <v>9</v>
      </c>
      <c r="H279" s="163" t="s">
        <v>186</v>
      </c>
      <c r="I279" s="164" t="s">
        <v>381</v>
      </c>
      <c r="J279" s="165">
        <v>46217</v>
      </c>
      <c r="K279" s="166" t="s">
        <v>1284</v>
      </c>
      <c r="L279" s="167" t="s">
        <v>194</v>
      </c>
      <c r="M279" s="167" t="s">
        <v>1050</v>
      </c>
      <c r="N279" s="168">
        <v>215900</v>
      </c>
      <c r="O279" s="167" t="s">
        <v>191</v>
      </c>
      <c r="P279" s="167" t="s">
        <v>192</v>
      </c>
      <c r="Q279" s="169">
        <v>181428.57</v>
      </c>
      <c r="R279" s="170">
        <v>34471</v>
      </c>
      <c r="S279" s="170">
        <v>215900</v>
      </c>
      <c r="T279" s="171">
        <v>1632857</v>
      </c>
      <c r="U279" s="171">
        <v>1943100</v>
      </c>
      <c r="V279" s="172" t="s">
        <v>381</v>
      </c>
      <c r="W279" s="173">
        <v>46217</v>
      </c>
      <c r="X279" s="174" t="s">
        <v>1285</v>
      </c>
      <c r="Y279" s="175" t="s">
        <v>194</v>
      </c>
      <c r="Z279" s="175" t="s">
        <v>1286</v>
      </c>
      <c r="AA279" s="176">
        <v>210000</v>
      </c>
      <c r="AB279" s="175" t="s">
        <v>198</v>
      </c>
      <c r="AC279" s="175" t="s">
        <v>192</v>
      </c>
      <c r="AD279" s="177">
        <v>210000</v>
      </c>
      <c r="AE279" s="178">
        <v>39900</v>
      </c>
      <c r="AF279" s="178">
        <v>249900</v>
      </c>
      <c r="AG279" s="179">
        <v>1890000</v>
      </c>
      <c r="AH279" s="179">
        <v>2249100</v>
      </c>
      <c r="AI279" s="180" t="s">
        <v>381</v>
      </c>
      <c r="AJ279" s="181">
        <v>46217</v>
      </c>
      <c r="AK279" s="182" t="s">
        <v>1287</v>
      </c>
      <c r="AL279" s="180" t="s">
        <v>194</v>
      </c>
      <c r="AM279" s="180" t="s">
        <v>1288</v>
      </c>
      <c r="AN279" s="183">
        <v>288001</v>
      </c>
      <c r="AO279" s="180" t="s">
        <v>191</v>
      </c>
      <c r="AP279" s="180" t="s">
        <v>192</v>
      </c>
      <c r="AQ279" s="184">
        <v>242017.65</v>
      </c>
      <c r="AR279" s="185">
        <v>45983</v>
      </c>
      <c r="AS279" s="185">
        <v>288001</v>
      </c>
      <c r="AT279" s="186">
        <v>2178159</v>
      </c>
      <c r="AU279" s="186">
        <v>2592009</v>
      </c>
      <c r="AV279" s="133">
        <f t="shared" si="184"/>
        <v>251267</v>
      </c>
      <c r="AW279" s="133">
        <f t="shared" si="185"/>
        <v>2261403</v>
      </c>
      <c r="AX279" s="133">
        <f t="shared" si="186"/>
        <v>324629</v>
      </c>
      <c r="AY279" s="187">
        <v>0.14360000000000001</v>
      </c>
    </row>
    <row r="280" spans="1:51" ht="121.5">
      <c r="A280" s="160" t="s">
        <v>1208</v>
      </c>
      <c r="B280" s="160" t="s">
        <v>1208</v>
      </c>
      <c r="C280" s="161"/>
      <c r="D280" s="163" t="s">
        <v>1289</v>
      </c>
      <c r="E280" s="163" t="s">
        <v>1290</v>
      </c>
      <c r="F280" s="162" t="s">
        <v>185</v>
      </c>
      <c r="G280" s="163">
        <v>2</v>
      </c>
      <c r="H280" s="163" t="s">
        <v>186</v>
      </c>
      <c r="I280" s="164" t="s">
        <v>381</v>
      </c>
      <c r="J280" s="165">
        <v>46217</v>
      </c>
      <c r="K280" s="166" t="s">
        <v>1291</v>
      </c>
      <c r="L280" s="167" t="s">
        <v>194</v>
      </c>
      <c r="M280" s="167" t="s">
        <v>883</v>
      </c>
      <c r="N280" s="168">
        <v>2369900</v>
      </c>
      <c r="O280" s="167" t="s">
        <v>191</v>
      </c>
      <c r="P280" s="167" t="s">
        <v>192</v>
      </c>
      <c r="Q280" s="169">
        <v>1991512.61</v>
      </c>
      <c r="R280" s="170">
        <v>378387</v>
      </c>
      <c r="S280" s="170">
        <v>2369900</v>
      </c>
      <c r="T280" s="171">
        <v>3983025</v>
      </c>
      <c r="U280" s="171">
        <v>4739800</v>
      </c>
      <c r="V280" s="172" t="s">
        <v>381</v>
      </c>
      <c r="W280" s="173">
        <v>46217</v>
      </c>
      <c r="X280" s="174" t="s">
        <v>1292</v>
      </c>
      <c r="Y280" s="175" t="s">
        <v>194</v>
      </c>
      <c r="Z280" s="175" t="s">
        <v>1246</v>
      </c>
      <c r="AA280" s="176">
        <v>2600000</v>
      </c>
      <c r="AB280" s="175" t="s">
        <v>191</v>
      </c>
      <c r="AC280" s="175" t="s">
        <v>192</v>
      </c>
      <c r="AD280" s="177">
        <v>2184873.9500000002</v>
      </c>
      <c r="AE280" s="178">
        <v>415126</v>
      </c>
      <c r="AF280" s="178">
        <v>2600000</v>
      </c>
      <c r="AG280" s="179">
        <v>4369748</v>
      </c>
      <c r="AH280" s="179">
        <v>5200000</v>
      </c>
      <c r="AI280" s="180" t="s">
        <v>381</v>
      </c>
      <c r="AJ280" s="181">
        <v>46217</v>
      </c>
      <c r="AK280" s="182" t="s">
        <v>1293</v>
      </c>
      <c r="AL280" s="180" t="s">
        <v>194</v>
      </c>
      <c r="AM280" s="180" t="s">
        <v>1050</v>
      </c>
      <c r="AN280" s="183">
        <v>1975900</v>
      </c>
      <c r="AO280" s="180" t="s">
        <v>191</v>
      </c>
      <c r="AP280" s="180" t="s">
        <v>192</v>
      </c>
      <c r="AQ280" s="184">
        <v>1660420.17</v>
      </c>
      <c r="AR280" s="185">
        <v>315480</v>
      </c>
      <c r="AS280" s="185">
        <v>1975900</v>
      </c>
      <c r="AT280" s="186">
        <v>3320840</v>
      </c>
      <c r="AU280" s="186">
        <v>3951800</v>
      </c>
      <c r="AV280" s="133">
        <f t="shared" si="184"/>
        <v>2315267</v>
      </c>
      <c r="AW280" s="133">
        <f t="shared" si="185"/>
        <v>4630534</v>
      </c>
      <c r="AX280" s="133">
        <f t="shared" si="186"/>
        <v>631233</v>
      </c>
      <c r="AY280" s="187">
        <v>0.1363</v>
      </c>
    </row>
    <row r="281" spans="1:51" ht="54">
      <c r="A281" s="160" t="s">
        <v>1208</v>
      </c>
      <c r="B281" s="160" t="s">
        <v>1208</v>
      </c>
      <c r="C281" s="161"/>
      <c r="D281" s="163" t="s">
        <v>1294</v>
      </c>
      <c r="E281" s="163" t="s">
        <v>1295</v>
      </c>
      <c r="F281" s="162" t="s">
        <v>185</v>
      </c>
      <c r="G281" s="163">
        <v>12</v>
      </c>
      <c r="H281" s="163" t="s">
        <v>186</v>
      </c>
      <c r="I281" s="190" t="s">
        <v>381</v>
      </c>
      <c r="J281" s="191">
        <v>46231</v>
      </c>
      <c r="K281" s="192" t="s">
        <v>1296</v>
      </c>
      <c r="L281" s="190" t="s">
        <v>189</v>
      </c>
      <c r="M281" s="193" t="s">
        <v>1297</v>
      </c>
      <c r="N281" s="194">
        <v>374900</v>
      </c>
      <c r="O281" s="190" t="s">
        <v>191</v>
      </c>
      <c r="P281" s="190" t="s">
        <v>192</v>
      </c>
      <c r="Q281" s="169">
        <v>315042.02</v>
      </c>
      <c r="R281" s="170">
        <v>59858</v>
      </c>
      <c r="S281" s="170">
        <v>374900</v>
      </c>
      <c r="T281" s="171">
        <v>3780504</v>
      </c>
      <c r="U281" s="171">
        <v>4498800</v>
      </c>
      <c r="V281" s="195" t="s">
        <v>381</v>
      </c>
      <c r="W281" s="196">
        <v>46231</v>
      </c>
      <c r="X281" s="197" t="s">
        <v>1298</v>
      </c>
      <c r="Y281" s="195" t="s">
        <v>189</v>
      </c>
      <c r="Z281" s="198" t="s">
        <v>1269</v>
      </c>
      <c r="AA281" s="199">
        <v>374900</v>
      </c>
      <c r="AB281" s="195" t="s">
        <v>191</v>
      </c>
      <c r="AC281" s="195" t="s">
        <v>192</v>
      </c>
      <c r="AD281" s="177">
        <v>315042.02</v>
      </c>
      <c r="AE281" s="178">
        <v>59858</v>
      </c>
      <c r="AF281" s="178">
        <v>374900</v>
      </c>
      <c r="AG281" s="179">
        <v>3780504</v>
      </c>
      <c r="AH281" s="179">
        <v>4498800</v>
      </c>
      <c r="AI281" s="180" t="s">
        <v>381</v>
      </c>
      <c r="AJ281" s="181">
        <v>46217</v>
      </c>
      <c r="AK281" s="182" t="s">
        <v>1299</v>
      </c>
      <c r="AL281" s="180" t="s">
        <v>194</v>
      </c>
      <c r="AM281" s="180" t="s">
        <v>1300</v>
      </c>
      <c r="AN281" s="183">
        <v>389000</v>
      </c>
      <c r="AO281" s="180" t="s">
        <v>191</v>
      </c>
      <c r="AP281" s="180" t="s">
        <v>192</v>
      </c>
      <c r="AQ281" s="184">
        <v>326890.76</v>
      </c>
      <c r="AR281" s="185">
        <v>62109</v>
      </c>
      <c r="AS281" s="185">
        <v>389000</v>
      </c>
      <c r="AT281" s="186">
        <v>3922689</v>
      </c>
      <c r="AU281" s="186">
        <v>4668000</v>
      </c>
      <c r="AV281" s="133">
        <f t="shared" si="184"/>
        <v>379600</v>
      </c>
      <c r="AW281" s="133">
        <f t="shared" si="185"/>
        <v>4555200</v>
      </c>
      <c r="AX281" s="133">
        <f t="shared" si="186"/>
        <v>97688</v>
      </c>
      <c r="AY281" s="187">
        <v>2.1399999999999999E-2</v>
      </c>
    </row>
    <row r="282" spans="1:51" ht="121.5">
      <c r="A282" s="160" t="s">
        <v>1208</v>
      </c>
      <c r="B282" s="160" t="s">
        <v>1208</v>
      </c>
      <c r="C282" s="161"/>
      <c r="D282" s="163" t="s">
        <v>1301</v>
      </c>
      <c r="E282" s="163" t="s">
        <v>1302</v>
      </c>
      <c r="F282" s="162" t="s">
        <v>185</v>
      </c>
      <c r="G282" s="163">
        <v>11</v>
      </c>
      <c r="H282" s="163" t="s">
        <v>186</v>
      </c>
      <c r="I282" s="164" t="s">
        <v>381</v>
      </c>
      <c r="J282" s="165">
        <v>46217</v>
      </c>
      <c r="K282" s="166" t="s">
        <v>1303</v>
      </c>
      <c r="L282" s="167" t="s">
        <v>189</v>
      </c>
      <c r="M282" s="167" t="s">
        <v>1304</v>
      </c>
      <c r="N282" s="168">
        <v>2359000</v>
      </c>
      <c r="O282" s="167" t="s">
        <v>191</v>
      </c>
      <c r="P282" s="167" t="s">
        <v>192</v>
      </c>
      <c r="Q282" s="169">
        <v>1982352.94</v>
      </c>
      <c r="R282" s="170">
        <v>376647</v>
      </c>
      <c r="S282" s="170">
        <v>2359000</v>
      </c>
      <c r="T282" s="171">
        <v>21805882</v>
      </c>
      <c r="U282" s="171">
        <v>25949000</v>
      </c>
      <c r="V282" s="172" t="s">
        <v>381</v>
      </c>
      <c r="W282" s="173">
        <v>46217</v>
      </c>
      <c r="X282" s="174" t="s">
        <v>1305</v>
      </c>
      <c r="Y282" s="175" t="s">
        <v>189</v>
      </c>
      <c r="Z282" s="175" t="s">
        <v>1297</v>
      </c>
      <c r="AA282" s="176">
        <v>2399900</v>
      </c>
      <c r="AB282" s="175" t="s">
        <v>191</v>
      </c>
      <c r="AC282" s="175" t="s">
        <v>192</v>
      </c>
      <c r="AD282" s="177">
        <v>2016722.69</v>
      </c>
      <c r="AE282" s="178">
        <v>383177</v>
      </c>
      <c r="AF282" s="178">
        <v>2399900</v>
      </c>
      <c r="AG282" s="179">
        <v>22183950</v>
      </c>
      <c r="AH282" s="179">
        <v>26398900</v>
      </c>
      <c r="AI282" s="180" t="s">
        <v>381</v>
      </c>
      <c r="AJ282" s="181">
        <v>46217</v>
      </c>
      <c r="AK282" s="182" t="s">
        <v>1306</v>
      </c>
      <c r="AL282" s="180" t="s">
        <v>194</v>
      </c>
      <c r="AM282" s="180" t="s">
        <v>1307</v>
      </c>
      <c r="AN282" s="183">
        <v>2340000</v>
      </c>
      <c r="AO282" s="180" t="s">
        <v>191</v>
      </c>
      <c r="AP282" s="180" t="s">
        <v>192</v>
      </c>
      <c r="AQ282" s="184">
        <v>1966386.55</v>
      </c>
      <c r="AR282" s="185">
        <v>373613</v>
      </c>
      <c r="AS282" s="185">
        <v>2340000</v>
      </c>
      <c r="AT282" s="186">
        <v>21630252</v>
      </c>
      <c r="AU282" s="186">
        <v>25740000</v>
      </c>
      <c r="AV282" s="133">
        <f t="shared" si="184"/>
        <v>2366300</v>
      </c>
      <c r="AW282" s="133">
        <f t="shared" si="185"/>
        <v>26029300</v>
      </c>
      <c r="AX282" s="133">
        <f t="shared" si="186"/>
        <v>336710</v>
      </c>
      <c r="AY282" s="187">
        <v>1.29E-2</v>
      </c>
    </row>
    <row r="411" spans="52:54" ht="135">
      <c r="AZ411" s="13"/>
      <c r="BA411" s="13" t="s">
        <v>1308</v>
      </c>
      <c r="BB411" s="13" t="s">
        <v>1309</v>
      </c>
    </row>
    <row r="412" spans="52:54" ht="90">
      <c r="AZ412" s="13"/>
      <c r="BA412" s="13" t="s">
        <v>1310</v>
      </c>
      <c r="BB412" s="13" t="s">
        <v>1311</v>
      </c>
    </row>
    <row r="413" spans="52:54">
      <c r="AZ413" s="485"/>
      <c r="BA413" s="486" t="s">
        <v>1310</v>
      </c>
      <c r="BB413" s="486" t="s">
        <v>1311</v>
      </c>
    </row>
    <row r="414" spans="52:54">
      <c r="AZ414" s="485"/>
      <c r="BA414" s="486"/>
      <c r="BB414" s="486"/>
    </row>
    <row r="415" spans="52:54">
      <c r="AZ415" s="485"/>
      <c r="BA415" s="486"/>
      <c r="BB415" s="486"/>
    </row>
    <row r="416" spans="52:54">
      <c r="AZ416" s="485"/>
      <c r="BA416" s="486" t="s">
        <v>1310</v>
      </c>
      <c r="BB416" s="486" t="s">
        <v>1311</v>
      </c>
    </row>
    <row r="417" spans="52:54">
      <c r="AZ417" s="485"/>
      <c r="BA417" s="486"/>
      <c r="BB417" s="486"/>
    </row>
    <row r="418" spans="52:54" ht="90">
      <c r="AZ418" s="13"/>
      <c r="BA418" s="13" t="s">
        <v>1310</v>
      </c>
      <c r="BB418" s="13" t="s">
        <v>1311</v>
      </c>
    </row>
    <row r="419" spans="52:54">
      <c r="AZ419" s="485"/>
      <c r="BA419" s="486" t="s">
        <v>1310</v>
      </c>
      <c r="BB419" s="486" t="s">
        <v>1311</v>
      </c>
    </row>
    <row r="420" spans="52:54">
      <c r="AZ420" s="485"/>
      <c r="BA420" s="486"/>
      <c r="BB420" s="486"/>
    </row>
    <row r="421" spans="52:54">
      <c r="AZ421" s="485"/>
      <c r="BA421" s="486"/>
      <c r="BB421" s="486"/>
    </row>
    <row r="422" spans="52:54">
      <c r="AZ422" s="485"/>
      <c r="BA422" s="486"/>
      <c r="BB422" s="486"/>
    </row>
    <row r="423" spans="52:54">
      <c r="AZ423" s="485"/>
      <c r="BA423" s="486"/>
      <c r="BB423" s="486"/>
    </row>
    <row r="424" spans="52:54">
      <c r="AZ424" s="485"/>
      <c r="BA424" s="486"/>
      <c r="BB424" s="486"/>
    </row>
    <row r="425" spans="52:54" ht="90">
      <c r="AZ425" s="13"/>
      <c r="BA425" s="13" t="s">
        <v>1310</v>
      </c>
      <c r="BB425" s="13" t="s">
        <v>1311</v>
      </c>
    </row>
    <row r="426" spans="52:54" ht="90">
      <c r="AZ426" s="13"/>
      <c r="BA426" s="13" t="s">
        <v>1310</v>
      </c>
      <c r="BB426" s="13" t="s">
        <v>1311</v>
      </c>
    </row>
    <row r="427" spans="52:54" ht="90">
      <c r="AZ427" s="13"/>
      <c r="BA427" s="13" t="s">
        <v>1310</v>
      </c>
      <c r="BB427" s="13" t="s">
        <v>1311</v>
      </c>
    </row>
  </sheetData>
  <sheetProtection algorithmName="SHA-512" hashValue="pkW9F/6f5fjQ9RS9Z+Bb9v5pfftGVIBPFf9uEO9mp43XP+tEX9m3Vkv+wkXABvo9OSDnzkiM9oa/9D6VWpA5LQ==" saltValue="omLDBw66HuJPVwusc2KGnQ==" spinCount="100000" sheet="1" objects="1" scenarios="1"/>
  <mergeCells count="9">
    <mergeCell ref="AZ413:AZ415"/>
    <mergeCell ref="BA413:BA415"/>
    <mergeCell ref="BB413:BB415"/>
    <mergeCell ref="AZ419:AZ424"/>
    <mergeCell ref="BA419:BA424"/>
    <mergeCell ref="BB419:BB424"/>
    <mergeCell ref="AZ416:AZ417"/>
    <mergeCell ref="BA416:BA417"/>
    <mergeCell ref="BB416:BB417"/>
  </mergeCells>
  <conditionalFormatting sqref="AY3:AY267">
    <cfRule type="cellIs" dxfId="25" priority="2" stopIfTrue="1" operator="greaterThan">
      <formula>0.2</formula>
    </cfRule>
  </conditionalFormatting>
  <conditionalFormatting sqref="D194:D236 D3:D192">
    <cfRule type="duplicateValues" dxfId="24" priority="3"/>
  </conditionalFormatting>
  <conditionalFormatting sqref="D193">
    <cfRule type="duplicateValues" dxfId="23" priority="1"/>
  </conditionalFormatting>
  <dataValidations count="7">
    <dataValidation type="list" allowBlank="1" showInputMessage="1" showErrorMessage="1" sqref="H193 H3:H134" xr:uid="{49E9D87D-5DE9-457E-81A0-A6785303FB5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189EAD9-C278-4392-8FBE-B64D273A5530}">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86C9AE3A-F56B-4014-A534-477B9D094AEE}">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C12511F9-45E8-4008-9138-079CEE6C82C6}">
      <formula1>"Si tiene IVA,No tiene IVA"</formula1>
    </dataValidation>
    <dataValidation type="list" allowBlank="1" showInputMessage="1" showErrorMessage="1" sqref="AO82 O118 AO11 AO121 AB118 AO125 AO128:AO130 AB120:AB131 O120:O131 O43 AB43 AO43 O11 AB11 AO115:AO116 AB63:AB64 AO193 AB193 O193" xr:uid="{B94A7359-947D-442C-9910-9E48E79425F4}">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570AB6C1-9E92-4537-B9B4-A83C630E0481}">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AC06D9E9-D33E-4450-8A02-84DDE384CBFC}">
      <formula1>#REF!</formula1>
    </dataValidation>
  </dataValidations>
  <hyperlinks>
    <hyperlink ref="K149" r:id="rId1" xr:uid="{478FC562-8BD4-4413-ABC8-4FE8F86B78E0}"/>
    <hyperlink ref="X149" r:id="rId2" xr:uid="{627856AE-951D-47CE-8833-26ACDAEB47FA}"/>
    <hyperlink ref="AK149" r:id="rId3" xr:uid="{FE1D0759-FC0C-453F-9978-5C58FC09702D}"/>
    <hyperlink ref="K150" r:id="rId4" xr:uid="{416F7B71-8A9F-44FB-864D-7565C7C6E0EA}"/>
    <hyperlink ref="X150" r:id="rId5" xr:uid="{FC593B2F-E737-485E-A757-358044C3D629}"/>
    <hyperlink ref="AK150" r:id="rId6" xr:uid="{3C0A5054-4371-4A3E-8ACD-A8E1CD3A4981}"/>
    <hyperlink ref="K92" r:id="rId7" xr:uid="{9D9B2D27-521D-405F-A5CA-CA4D4B73C217}"/>
    <hyperlink ref="X92" r:id="rId8" xr:uid="{B326E671-D5AC-41F4-B48F-A7C521938405}"/>
    <hyperlink ref="X94" r:id="rId9" xr:uid="{67855569-77B4-4606-A891-CC0EC43DAF8D}"/>
    <hyperlink ref="AK232" r:id="rId10" xr:uid="{3A603975-C3BD-475C-9C27-807A388616E9}"/>
    <hyperlink ref="K14" r:id="rId11" xr:uid="{C9CD90E2-1366-4DA2-9FFF-9DCBBEE7EE4A}"/>
    <hyperlink ref="AK14" r:id="rId12" xr:uid="{73BD53F0-6566-4411-AB89-B1BDA3642CB5}"/>
    <hyperlink ref="AK82" r:id="rId13" xr:uid="{E5A62833-4AE0-42F9-B723-60F5BFDB6268}"/>
    <hyperlink ref="X90" r:id="rId14" xr:uid="{46CFD5CA-6CE0-405E-9DF2-154C771A9B40}"/>
    <hyperlink ref="AK90" r:id="rId15" xr:uid="{27C9AB03-09A6-4E6D-8E7F-9D2B947C95A2}"/>
    <hyperlink ref="K91" r:id="rId16" xr:uid="{FA053C37-E13D-42AE-B751-38E2ED2F6600}"/>
    <hyperlink ref="X91" r:id="rId17" xr:uid="{790630F9-2F99-4F0F-966D-E8AFE6269AB2}"/>
    <hyperlink ref="AK91" r:id="rId18" xr:uid="{BE707816-837E-4C1F-B039-930FD1840A3C}"/>
    <hyperlink ref="X93" r:id="rId19" xr:uid="{2C45857B-0CBF-4244-8D86-028244F8354C}"/>
    <hyperlink ref="AK93" r:id="rId20" xr:uid="{78606A54-B018-4B9D-8F78-DEDC1A8217D2}"/>
    <hyperlink ref="X95" r:id="rId21" xr:uid="{EFE57C29-257E-4756-A869-875701CD72A9}"/>
    <hyperlink ref="K96" r:id="rId22" xr:uid="{450281B2-8106-4356-A2FE-40A9036BF06F}"/>
    <hyperlink ref="X96" r:id="rId23" xr:uid="{6FEC7B98-9700-4F8B-95FD-E30B4BE3E72B}"/>
    <hyperlink ref="K97" r:id="rId24" xr:uid="{9A4B3229-FA04-47E4-BA7E-4AE41E0C7881}"/>
    <hyperlink ref="X97" r:id="rId25" xr:uid="{CDD2016B-3EE7-40FD-9EEF-F40B0E0CBD30}"/>
    <hyperlink ref="AK97" r:id="rId26" xr:uid="{8D6A9432-465F-4AEB-BD9E-6486BCF65A9D}"/>
    <hyperlink ref="X98" r:id="rId27" xr:uid="{3C076216-637B-4FAD-A301-2347BB35D0AB}"/>
    <hyperlink ref="AK99" r:id="rId28" xr:uid="{B42FA92C-EAA1-4BD3-AE0C-7688A76D6B1C}"/>
    <hyperlink ref="K100" r:id="rId29" xr:uid="{D2A85473-B745-4BAF-8D8E-75FCA3313C0D}"/>
    <hyperlink ref="X100" r:id="rId30" xr:uid="{A99DD6C0-89AC-40B7-B0B3-442A320D3960}"/>
    <hyperlink ref="K110" r:id="rId31" xr:uid="{976593EC-3B28-4B25-A4AF-96950155252D}"/>
    <hyperlink ref="X110" r:id="rId32" xr:uid="{B8E7F978-2B6B-4016-8DC6-67C471DF87C9}"/>
    <hyperlink ref="AK110" r:id="rId33" xr:uid="{7E06B20F-DD5F-403B-AD85-BAE79C5B3E9C}"/>
    <hyperlink ref="X111" r:id="rId34" xr:uid="{6694C02C-FA16-4364-BEDF-6A9D34369277}"/>
    <hyperlink ref="M11" r:id="rId35" xr:uid="{3A9BF65B-A42B-48C4-9B39-66BFE4B22DB9}"/>
    <hyperlink ref="K104" r:id="rId36" xr:uid="{ABE19EF0-52AE-4B55-8542-49954EA0A976}"/>
    <hyperlink ref="X112" r:id="rId37" xr:uid="{32384656-735C-4887-B093-2C3B956C1061}"/>
    <hyperlink ref="X182" r:id="rId38" xr:uid="{FB612482-FF98-4D8B-82D5-1CAAC2F30368}"/>
    <hyperlink ref="AK112" r:id="rId39" xr:uid="{098DC3C7-22DD-4BFB-8A5E-0939D4E27B8E}"/>
    <hyperlink ref="X104" r:id="rId40" xr:uid="{C0EE659E-D1D0-4CAC-B87E-5268D98BE5F2}"/>
    <hyperlink ref="X246" r:id="rId41" xr:uid="{55296E57-C4DA-4F56-B89C-23F89018C525}"/>
    <hyperlink ref="K113" r:id="rId42" xr:uid="{59FEC84B-BB09-4A94-BF04-AF31C539A564}"/>
    <hyperlink ref="X113" r:id="rId43" xr:uid="{DAB74BD4-2A16-458C-9CD3-404784814117}"/>
    <hyperlink ref="X114" r:id="rId44" xr:uid="{B63B9821-E2A0-43FA-B7E9-DD3EC4166964}"/>
    <hyperlink ref="AK114" r:id="rId45" xr:uid="{0E1492AF-C217-428D-9FB8-931F073A7C62}"/>
    <hyperlink ref="K115" r:id="rId46" xr:uid="{A2422FF5-F86E-498A-AE47-ECEA6FE067CE}"/>
    <hyperlink ref="X115" r:id="rId47" xr:uid="{355385B4-B148-4DEB-9D77-25B859BC02B2}"/>
    <hyperlink ref="AK115" r:id="rId48" xr:uid="{6BFD9E8A-290B-4E0B-A088-03B58C41A306}"/>
    <hyperlink ref="K116" r:id="rId49" xr:uid="{4AD7E7C3-65E2-4415-A30C-11761655CB65}"/>
    <hyperlink ref="X116" r:id="rId50" xr:uid="{114C3972-61A3-4064-ABC8-9A58AB9081A0}"/>
    <hyperlink ref="AK116" r:id="rId51" xr:uid="{73A387D7-F548-48D4-B20D-2D3FB7651FA1}"/>
    <hyperlink ref="K51" r:id="rId52" xr:uid="{94D6528F-448B-442D-9D51-ADE6A697BEB4}"/>
    <hyperlink ref="AK51" r:id="rId53" xr:uid="{4D1F9064-A4A6-4CED-9252-AB7796756DBE}"/>
    <hyperlink ref="X118" r:id="rId54" xr:uid="{43C79896-32A8-4745-8607-EBE6158DD13B}"/>
    <hyperlink ref="K118" r:id="rId55" xr:uid="{884967A9-2891-4E0F-A01C-91AEFFCF18B5}"/>
    <hyperlink ref="X119" r:id="rId56" xr:uid="{7A926444-3EA9-4FFD-9AC1-B735ED8D11B7}"/>
    <hyperlink ref="K122" r:id="rId57" xr:uid="{98C9272C-7989-464D-88A9-ADA43AC495F4}"/>
    <hyperlink ref="X122" r:id="rId58" xr:uid="{184DFFDA-499C-4ECE-9993-6AEA56218051}"/>
    <hyperlink ref="AK122" r:id="rId59" xr:uid="{322EC518-1A42-42F2-9F62-BEBFC9110150}"/>
    <hyperlink ref="K123" r:id="rId60" xr:uid="{2811EA00-20FD-408D-A3E8-C4AF7368A782}"/>
    <hyperlink ref="AK123" r:id="rId61" xr:uid="{64E9BDBA-260B-449D-875E-FA777D7252E8}"/>
    <hyperlink ref="X126" r:id="rId62" xr:uid="{F7200E58-EBEC-44AB-999E-C25AF895752C}"/>
    <hyperlink ref="AK126" r:id="rId63" xr:uid="{6C6AB8BF-628E-4F15-A114-B0C63B25CBBD}"/>
    <hyperlink ref="K65" r:id="rId64" xr:uid="{2B165722-DBAF-463D-A296-CD2ECF061981}"/>
    <hyperlink ref="X65" r:id="rId65" xr:uid="{5F900A34-7F29-4826-A012-B992D41C077C}"/>
    <hyperlink ref="AK65" r:id="rId66" xr:uid="{AFB56578-07E8-46E8-9FF8-19533811F537}"/>
    <hyperlink ref="K19" r:id="rId67" xr:uid="{329C44A7-5DAF-42D8-9593-563C41903244}"/>
    <hyperlink ref="X19" r:id="rId68" xr:uid="{D0BF1C67-1207-499C-BB17-725477EBAC26}"/>
    <hyperlink ref="AK19" r:id="rId69" xr:uid="{E93BA76F-FD9F-4BD3-836C-8019DF86AEFB}"/>
    <hyperlink ref="K72" r:id="rId70" xr:uid="{EA94BBD1-AD4B-4867-93A6-312C013A6099}"/>
    <hyperlink ref="AK72" r:id="rId71" xr:uid="{9AF40141-4790-4595-A5A4-ADDC34AF8D7B}"/>
    <hyperlink ref="K127" r:id="rId72" xr:uid="{CAB77BAC-FC8C-483D-8A70-7E8290FE1FB3}"/>
    <hyperlink ref="X127" r:id="rId73" xr:uid="{C2AE27F4-4D17-4171-9CB5-59CCC8CA4E00}"/>
    <hyperlink ref="AK127" r:id="rId74" xr:uid="{24B98859-D1B3-41AE-9FDB-547C94B33423}"/>
    <hyperlink ref="K128" r:id="rId75" xr:uid="{949A0BE2-5E95-4CDB-A0B3-E5F8A2628C1C}"/>
    <hyperlink ref="X128" r:id="rId76" xr:uid="{CAA81968-BED0-4E44-B750-945B652B8795}"/>
    <hyperlink ref="AK128" r:id="rId77" xr:uid="{A8D7E74E-DF47-423E-BD27-0F964C87A50B}"/>
    <hyperlink ref="X136" r:id="rId78" xr:uid="{5C0ECC42-D80E-42CB-86B1-F39F682257E1}"/>
    <hyperlink ref="K140" r:id="rId79" xr:uid="{DA559439-69D9-48A2-86CB-137C04385EF0}"/>
    <hyperlink ref="X140" r:id="rId80" xr:uid="{E11468CC-F7D6-4AED-AE1E-455A9A683AEF}"/>
    <hyperlink ref="K144" r:id="rId81" xr:uid="{1E2D0BB9-54FD-4B5E-A970-BCC6A0149797}"/>
    <hyperlink ref="K145" r:id="rId82" xr:uid="{D6679458-6B12-47E4-8892-6B8E21FCA10F}"/>
    <hyperlink ref="X145" r:id="rId83" xr:uid="{6810FA8E-30C9-4CC1-8C3C-C01ED6F2266E}"/>
    <hyperlink ref="AK145" r:id="rId84" xr:uid="{72B6A9D7-74C3-4A4C-B1EE-67A10C473D20}"/>
    <hyperlink ref="X146" r:id="rId85" xr:uid="{B89F69C9-C1B9-4DBE-A562-73462163539F}"/>
    <hyperlink ref="AK146" r:id="rId86" xr:uid="{B05F9B8D-670D-49AC-86CA-3FC810E400A9}"/>
    <hyperlink ref="K147" r:id="rId87" xr:uid="{3AF626FD-14FF-4FC2-9B82-7BF829369BEA}"/>
    <hyperlink ref="X147" r:id="rId88" xr:uid="{6ADEC1DF-1FE0-4308-A0DE-D807EB57AB93}"/>
    <hyperlink ref="K148" r:id="rId89" xr:uid="{F6A6B3F6-56BE-4A6C-B3C4-F54861F24E5A}"/>
    <hyperlink ref="X148" r:id="rId90" xr:uid="{C9D110F3-4E11-496B-AC7F-FC87B64B181D}"/>
    <hyperlink ref="AK108" r:id="rId91" xr:uid="{4C5193C6-D229-4D3B-91B5-829856025D94}"/>
    <hyperlink ref="AK183" r:id="rId92" xr:uid="{104BEDBA-5813-4C74-91C4-C90CCA3A26C5}"/>
    <hyperlink ref="K10" r:id="rId93" xr:uid="{E6A2F9A3-3BB6-4291-B357-C25F0AC52BC5}"/>
    <hyperlink ref="K142" r:id="rId94" xr:uid="{59336493-795F-4FB3-A889-108FA93BDA5D}"/>
    <hyperlink ref="AK10" r:id="rId95" xr:uid="{83A37DC1-D206-46AA-B148-1CDF9E804F13}"/>
    <hyperlink ref="X10" r:id="rId96" xr:uid="{01A74427-C45F-4210-8333-D9EAB07EE972}"/>
    <hyperlink ref="X108" r:id="rId97" xr:uid="{C328259C-A26E-4971-AAB6-0DEF8B928BE7}"/>
    <hyperlink ref="AK11" r:id="rId98" xr:uid="{A422F1D1-97C8-4A1C-A1A7-40AB78B0C48F}"/>
    <hyperlink ref="AK107" r:id="rId99" xr:uid="{D1A6F9CB-9303-463A-984E-DF27574A649B}"/>
    <hyperlink ref="AK31:AK32" r:id="rId100" display="ANGIE PACHÓN _VARIOS 19-02-2026.pdf" xr:uid="{A7A87B27-99F7-45C8-A84B-0C45562B60ED}"/>
    <hyperlink ref="X186" r:id="rId101" xr:uid="{7E495C5B-6B14-428A-B293-F4A1C7B7729E}"/>
    <hyperlink ref="X187" r:id="rId102" xr:uid="{C20E5ED0-F08C-48A0-8387-C11900EA3CA0}"/>
    <hyperlink ref="Z187" r:id="rId103" xr:uid="{E8422DA9-D158-4C9B-99CD-1EBD06B40DBF}"/>
    <hyperlink ref="X188" r:id="rId104" xr:uid="{30588918-E181-4BDE-A231-0790F0EDE6BB}"/>
    <hyperlink ref="Z188" r:id="rId105" xr:uid="{9313CFD3-A662-482D-B4F4-EC40839960C7}"/>
    <hyperlink ref="X85" r:id="rId106" xr:uid="{D58222A5-0CC5-4351-A54F-91E46C5C7D80}"/>
    <hyperlink ref="K151" r:id="rId107" xr:uid="{FC43185A-E436-4E8A-98C0-8D337138D7A7}"/>
    <hyperlink ref="X151" r:id="rId108" xr:uid="{0A6B8CC5-CC2C-42B9-A904-8CC73DF7C1F8}"/>
    <hyperlink ref="AK151" r:id="rId109" xr:uid="{FE37E394-E37D-4EAA-9C85-40F99F609B56}"/>
    <hyperlink ref="X152" r:id="rId110" xr:uid="{B484FE30-142F-4D44-A189-83C8E4CD969F}"/>
    <hyperlink ref="AK152" r:id="rId111" xr:uid="{092E9EC0-E576-4432-AEDF-45DA9181F08F}"/>
    <hyperlink ref="X155" r:id="rId112" xr:uid="{C240B697-1B76-44A8-8247-B5B708662D0F}"/>
    <hyperlink ref="AK155" r:id="rId113" xr:uid="{09E413C9-B579-4E24-A1DA-68617838CC19}"/>
    <hyperlink ref="X156" r:id="rId114" xr:uid="{262CB398-062A-4C89-85D2-0F688A5F50A1}"/>
    <hyperlink ref="AK156" r:id="rId115" xr:uid="{DB6A6B5A-68FC-49EC-93C7-3FDA37712666}"/>
    <hyperlink ref="K155" r:id="rId116" xr:uid="{5B80FD04-888A-4EE7-BB3F-0612ED02BD17}"/>
    <hyperlink ref="K157" r:id="rId117" xr:uid="{13C0980E-FBF5-4B94-AF8D-947F848FEBC7}"/>
    <hyperlink ref="X157" r:id="rId118" xr:uid="{7C60F2DF-0CCD-46FF-9ECB-251D2D85E4CA}"/>
    <hyperlink ref="X159" r:id="rId119" xr:uid="{DCA19B80-4E3B-4E06-8D92-DC92B996E58F}"/>
    <hyperlink ref="AK159" r:id="rId120" xr:uid="{FA26C844-A881-4876-B178-A3E8E2D2806E}"/>
    <hyperlink ref="K160" r:id="rId121" xr:uid="{8E49BA38-6258-4991-AC25-9600CB670C14}"/>
    <hyperlink ref="X160" r:id="rId122" xr:uid="{055F0024-3736-47A2-9A29-8BCD15156CEA}"/>
    <hyperlink ref="X101" r:id="rId123" xr:uid="{385B3936-14F4-4D45-BE90-64A01A2DDB90}"/>
    <hyperlink ref="AK101" r:id="rId124" xr:uid="{046CFF60-CB73-4272-BBB3-1BE76F7A5F60}"/>
    <hyperlink ref="K241" r:id="rId125" xr:uid="{580075C0-6C7D-4238-9407-6CBFA4BA3680}"/>
    <hyperlink ref="X241" r:id="rId126" xr:uid="{9798EC14-D8F2-4B90-8D56-FAC5BCA2AD7D}"/>
    <hyperlink ref="AK241" r:id="rId127" xr:uid="{E80378E5-D843-427F-B70A-D0BC3E80704F}"/>
    <hyperlink ref="K243" r:id="rId128" xr:uid="{AB1A3F15-BC78-4AC6-9C60-FECA55335F92}"/>
    <hyperlink ref="X243" r:id="rId129" xr:uid="{D0562575-6D09-4ED3-A3F7-04A120D7E317}"/>
    <hyperlink ref="AK243" r:id="rId130" xr:uid="{B3BB7515-661A-4060-9495-DDCC8EE9285C}"/>
    <hyperlink ref="AK165" r:id="rId131" xr:uid="{2FC4C0B2-7193-4F0D-8638-4E0836FA3A56}"/>
    <hyperlink ref="X165" r:id="rId132" xr:uid="{7891CE94-245A-4240-9002-A1FEF18A551C}"/>
    <hyperlink ref="K165" r:id="rId133" xr:uid="{13441C18-BF91-4909-ACED-8317F2D533A2}"/>
    <hyperlink ref="K166" r:id="rId134" xr:uid="{38A68CE0-E4CA-4BF4-8A90-DFC83787EEB2}"/>
    <hyperlink ref="AK166" r:id="rId135" xr:uid="{4D0D4644-E09D-4A82-8A00-AD12C345B609}"/>
    <hyperlink ref="X166" r:id="rId136" xr:uid="{92BB7575-A95D-4FD5-86CB-2EBF0D0E1E38}"/>
    <hyperlink ref="K167" r:id="rId137" xr:uid="{1E0EBA84-944A-4E13-BD92-B4F4B5D3BAD1}"/>
    <hyperlink ref="X167" r:id="rId138" xr:uid="{D5101A51-5139-4389-97FF-5B881030B7FF}"/>
    <hyperlink ref="K169" r:id="rId139" xr:uid="{22704506-48B4-40AC-8A37-154D616645C4}"/>
    <hyperlink ref="X169" r:id="rId140" xr:uid="{623F58C5-C3DD-4041-96C9-9AAE4BB83EA5}"/>
    <hyperlink ref="AK169" r:id="rId141" xr:uid="{4F47D0F6-F51E-477C-9E62-2501A85DE4F2}"/>
    <hyperlink ref="X170" r:id="rId142" xr:uid="{F19404AF-0314-4FBD-AD26-89785DA26C42}"/>
    <hyperlink ref="K170" r:id="rId143" xr:uid="{E788D019-50CA-4F99-84A4-DEFAF20AE35A}"/>
    <hyperlink ref="AK170" r:id="rId144" xr:uid="{A48CBE0B-6B40-4C93-972F-381966F040DA}"/>
    <hyperlink ref="K171" r:id="rId145" xr:uid="{BA3C432A-490B-4E0F-A7BB-41168784E377}"/>
    <hyperlink ref="X171" r:id="rId146" xr:uid="{DD9B9D34-407B-4332-8551-2F4688575D60}"/>
    <hyperlink ref="AK171" r:id="rId147" xr:uid="{16CA879F-272D-47AD-A55F-9C9C4F49BA27}"/>
    <hyperlink ref="K172" r:id="rId148" xr:uid="{D9BEF009-1BA3-4F04-840E-B52DA8DE811F}"/>
    <hyperlink ref="X172" r:id="rId149" xr:uid="{0156486F-223B-487B-AD0F-86680D6939CC}"/>
    <hyperlink ref="AK172" r:id="rId150" xr:uid="{CD88821D-D1C1-416A-88FA-A4F09C1E1E0A}"/>
    <hyperlink ref="K173" r:id="rId151" xr:uid="{F65A5EE8-AE91-45F3-83F0-F6BF32921A83}"/>
    <hyperlink ref="X173" r:id="rId152" xr:uid="{9082E0E2-6DE7-4F65-80F5-5952A211E0B3}"/>
    <hyperlink ref="AK173" r:id="rId153" xr:uid="{9BC25B3A-1D80-479C-AC8B-F0A952CF28EE}"/>
    <hyperlink ref="AK174" r:id="rId154" xr:uid="{A2543DF9-6EC9-4360-987C-FDB6DDEC0A05}"/>
    <hyperlink ref="K174" r:id="rId155" xr:uid="{F1DB3BE7-75B6-4261-8ECF-C26CDBC02D47}"/>
    <hyperlink ref="K175" r:id="rId156" xr:uid="{D2ACD8A6-50DB-44EF-B258-76815608314E}"/>
    <hyperlink ref="X175" r:id="rId157" xr:uid="{9A2D5C53-95B9-4CD1-BF0A-2618AFE15168}"/>
    <hyperlink ref="AK175" r:id="rId158" xr:uid="{3CD19C36-7FF0-4F1C-834A-8AB4CA2F96BA}"/>
    <hyperlink ref="K176" r:id="rId159" xr:uid="{38C301D6-226F-4A4A-9E61-906473FE1DCE}"/>
    <hyperlink ref="X176" r:id="rId160" xr:uid="{98B7A15B-3DE2-4CB6-A8A9-3F1C67C6E89C}"/>
    <hyperlink ref="AK176" r:id="rId161" xr:uid="{5115E4B9-A79F-4A81-A98C-6A7851D50AF4}"/>
    <hyperlink ref="K177" r:id="rId162" xr:uid="{9758BA54-F66A-45D4-AD04-AA5CD26D186D}"/>
    <hyperlink ref="X177" r:id="rId163" xr:uid="{16D47835-E1D4-4380-91CA-EC37DE8A92CE}"/>
    <hyperlink ref="AK177" r:id="rId164" xr:uid="{4E23DE78-752F-4119-9CCA-ACA0669B0F98}"/>
    <hyperlink ref="K178" r:id="rId165" xr:uid="{25FDFEDB-CBDD-4CE2-913C-BBABA8CD610C}"/>
    <hyperlink ref="X178" r:id="rId166" xr:uid="{3F1CE859-0E39-4B27-8701-4789C3DB27A8}"/>
    <hyperlink ref="AK178" r:id="rId167" xr:uid="{73FDAC34-480B-4F34-8447-0ACC4BE14548}"/>
    <hyperlink ref="K179" r:id="rId168" xr:uid="{D5DBF767-15DE-440D-8A27-5B53D6746A76}"/>
    <hyperlink ref="AK179" r:id="rId169" xr:uid="{03375BC0-49D3-485A-8E19-3ABF1DB5B310}"/>
    <hyperlink ref="X179" r:id="rId170" xr:uid="{3AE6C3E5-649D-4389-8320-CC8089987377}"/>
    <hyperlink ref="K180" r:id="rId171" xr:uid="{784407D0-C5B6-4336-A6CE-234701A22BD9}"/>
    <hyperlink ref="X180" r:id="rId172" xr:uid="{076B28FE-5569-4908-8FBB-1614C1E601E9}"/>
    <hyperlink ref="AK180" r:id="rId173" xr:uid="{4481F1A6-8A8E-4A00-80CC-68B6A4F70134}"/>
    <hyperlink ref="X181" r:id="rId174" xr:uid="{4459F1DF-925D-417A-A44E-06839908FCFA}"/>
    <hyperlink ref="AK181" r:id="rId175" xr:uid="{4A3C0F4F-F91E-4854-B698-37E4A6E6FB70}"/>
    <hyperlink ref="K190" r:id="rId176" xr:uid="{CF77DF47-A7AC-43A6-BCD3-1C6DEE37758C}"/>
    <hyperlink ref="AK190" r:id="rId177" xr:uid="{155B6F2C-AEEC-4B4B-A709-F9089C04C411}"/>
    <hyperlink ref="K194" r:id="rId178" xr:uid="{657BF553-35C6-4C9C-A3E2-CB68C2F3C489}"/>
    <hyperlink ref="X194" r:id="rId179" xr:uid="{42C0F40C-CEC6-412F-9887-7FAC48E9C7D3}"/>
    <hyperlink ref="AK194" r:id="rId180" xr:uid="{2F2DF84B-669C-4431-BFB3-000C09B2FD3E}"/>
    <hyperlink ref="X195" r:id="rId181" xr:uid="{9CF76B41-D129-4A4E-AB60-7421CF2C0378}"/>
    <hyperlink ref="AK195" r:id="rId182" xr:uid="{3FF48E89-C9D0-456F-B389-8411967CC0DB}"/>
    <hyperlink ref="K195" r:id="rId183" xr:uid="{7363D1BE-7848-4BB5-97F2-DF44AF8F92F3}"/>
    <hyperlink ref="K201" r:id="rId184" xr:uid="{0BEF9ACC-0C52-44A8-B766-30D7CD446877}"/>
    <hyperlink ref="X201" r:id="rId185" xr:uid="{3A2822D9-3EB8-4891-8D9C-95D733478BEE}"/>
    <hyperlink ref="AK201" r:id="rId186" xr:uid="{4E874EA8-4311-4B23-BF2C-8B4F5ACE21D9}"/>
    <hyperlink ref="K202" r:id="rId187" xr:uid="{E932AAF4-F2DD-4726-8715-E397BA1111D9}"/>
    <hyperlink ref="X202" r:id="rId188" xr:uid="{E5C520DF-F60F-442B-9875-8A2E92079780}"/>
    <hyperlink ref="AK202" r:id="rId189" xr:uid="{3FEFDCF6-E7F4-4298-9569-05B9BE2D3EB8}"/>
    <hyperlink ref="K203" r:id="rId190" xr:uid="{4F3C5952-5E22-4990-ABE3-7E16B217C6F5}"/>
    <hyperlink ref="X203" r:id="rId191" xr:uid="{2FC015BF-6B88-48D5-9F64-EA22D5B88601}"/>
    <hyperlink ref="AK203" r:id="rId192" xr:uid="{9F63E5E8-EC2F-4D71-9E11-4A73805C654C}"/>
    <hyperlink ref="K229" r:id="rId193" xr:uid="{150F1AF6-2B68-42A0-BCF0-A2E9119C3C42}"/>
    <hyperlink ref="AK229" r:id="rId194" xr:uid="{0B70BB2B-C8BC-4329-95CE-A53B0A6963E1}"/>
    <hyperlink ref="K230" r:id="rId195" xr:uid="{DE1CB718-6C4A-49B1-A6F2-64530AF4B54A}"/>
    <hyperlink ref="AK230" r:id="rId196" xr:uid="{B7590B47-733C-4DCF-B250-837F1F8A0FB2}"/>
    <hyperlink ref="K236" r:id="rId197" xr:uid="{8CA114AA-2BEB-415E-AD2B-433E7A331AC9}"/>
    <hyperlink ref="X229" r:id="rId198" xr:uid="{56022572-0C7F-46F7-85C9-2435A424FFCD}"/>
    <hyperlink ref="X230" r:id="rId199" xr:uid="{3A8B8D9F-91E0-435F-8B25-C50D1062D722}"/>
    <hyperlink ref="X236" r:id="rId200" xr:uid="{5EA041F5-C10E-496A-B68C-9DADCCF1513A}"/>
    <hyperlink ref="AK236" r:id="rId201" xr:uid="{AA8C2964-7AEB-41A1-A57E-E7DA603318A5}"/>
    <hyperlink ref="K237" r:id="rId202" xr:uid="{75783177-A2AB-4B65-89A7-9071C4C0A7E5}"/>
    <hyperlink ref="X237" r:id="rId203" xr:uid="{64FF9D54-1E74-43F6-BB73-F6588A24CE2C}"/>
    <hyperlink ref="AK237" r:id="rId204" xr:uid="{2D2D2655-A12D-4225-996B-C2C5F9DAE57A}"/>
    <hyperlink ref="K239" r:id="rId205" xr:uid="{7749B9DC-0129-4242-B832-C2A3AAF6C583}"/>
    <hyperlink ref="AK239" r:id="rId206" xr:uid="{21ACC336-A7E9-41A1-B7AB-0055DCB452A6}"/>
    <hyperlink ref="K242" r:id="rId207" xr:uid="{84CAE54E-14A8-4540-86C9-C25E4A8DB43E}"/>
    <hyperlink ref="X242" r:id="rId208" xr:uid="{E79CFC8B-24B6-4485-9D44-5F88D20D9D91}"/>
    <hyperlink ref="AK242" r:id="rId209" xr:uid="{F45BF720-5B82-4827-83BA-0FEFA588B238}"/>
    <hyperlink ref="K244" r:id="rId210" xr:uid="{219DE5B2-F994-482A-968E-3AD50E800688}"/>
    <hyperlink ref="X244" r:id="rId211" xr:uid="{D1B15C82-3D82-4068-A455-5F388984D405}"/>
    <hyperlink ref="AK244" r:id="rId212" xr:uid="{61AA89C8-3493-4A49-931B-15836770D654}"/>
    <hyperlink ref="K189" r:id="rId213" xr:uid="{78359AF8-39D9-46FB-9F4D-D1C83FEC6F8A}"/>
    <hyperlink ref="K181" r:id="rId214" xr:uid="{A395DE2D-CCE2-4B0B-8130-C3EE1C3462FC}"/>
    <hyperlink ref="X189" r:id="rId215" xr:uid="{0F62BBFC-E3B8-4061-8784-29D4DABA9C65}"/>
    <hyperlink ref="AK189" r:id="rId216" xr:uid="{9C404BB3-B32F-4ACF-8A31-FA695346139C}"/>
    <hyperlink ref="AK88" r:id="rId217" xr:uid="{19C769AF-1BDF-4374-95F7-93E5B5BD3105}"/>
    <hyperlink ref="Z88" r:id="rId218" xr:uid="{1550DD2B-1B53-4A26-A92E-87325D3F5A0B}"/>
    <hyperlink ref="M88" r:id="rId219" xr:uid="{58472174-A12F-4A04-835D-90FA9BCF21F8}"/>
    <hyperlink ref="K88" r:id="rId220" xr:uid="{88CB0E24-9A81-4B8B-BC8D-EB3B81499C8F}"/>
    <hyperlink ref="X88" r:id="rId221" xr:uid="{442E37F2-348E-4780-8785-A1573C6C749C}"/>
    <hyperlink ref="X82" r:id="rId222" xr:uid="{E2FA36AD-17E2-4F06-83E3-DC29EC7410D2}"/>
    <hyperlink ref="X89" r:id="rId223" xr:uid="{D3125806-668D-46FD-99BA-CCFA91391A83}"/>
    <hyperlink ref="K114" r:id="rId224" xr:uid="{17F7B16D-E0D8-484D-B538-0DEA761898DF}"/>
    <hyperlink ref="X174" r:id="rId225" xr:uid="{69C800E2-25C3-4B7F-8F18-0BD900AA3F79}"/>
    <hyperlink ref="X239" r:id="rId226" xr:uid="{09378C9D-9975-4C3C-8B14-F7EFE1A8FF16}"/>
    <hyperlink ref="AK89" r:id="rId227" xr:uid="{2B280C72-BAD7-4775-A54D-67F01234318D}"/>
    <hyperlink ref="AK94" r:id="rId228" xr:uid="{351946B4-BE10-4BF2-BD3A-676DC78523C9}"/>
    <hyperlink ref="AK96" r:id="rId229" xr:uid="{30800F6E-56B9-413D-9F0C-F1BCB2228412}"/>
    <hyperlink ref="AK98" r:id="rId230" xr:uid="{CACB37A5-FB3E-430B-B2E6-3F6D4F26D0FA}"/>
    <hyperlink ref="AK111" r:id="rId231" xr:uid="{F6E600C2-8931-458B-A824-5265960DB3C0}"/>
    <hyperlink ref="AK113" r:id="rId232" xr:uid="{2F13FB03-AFB8-426E-BBD8-F2859C70FBF2}"/>
    <hyperlink ref="AK148" r:id="rId233" xr:uid="{1266E246-8F46-4F25-95EE-FD151E855872}"/>
    <hyperlink ref="K238" r:id="rId234" xr:uid="{0FB81B28-746F-43B9-B6B3-E744FA5775BF}"/>
    <hyperlink ref="X238" r:id="rId235" xr:uid="{BBD4B824-BF2C-41D2-902B-889EBD8475C8}"/>
    <hyperlink ref="AK238" r:id="rId236" xr:uid="{FCD278E4-B43D-4CFC-A44E-A7CD91D662D2}"/>
    <hyperlink ref="K89" r:id="rId237" xr:uid="{34C1E013-8A9E-402B-BEA7-8472E69F9F5B}"/>
    <hyperlink ref="K93" r:id="rId238" xr:uid="{17404E5E-721B-4F79-848E-BA47676097D2}"/>
    <hyperlink ref="K94" r:id="rId239" xr:uid="{3D99376A-3D7A-48CB-AABC-30A25168C71C}"/>
    <hyperlink ref="K95" r:id="rId240" xr:uid="{809AEE37-F97D-46BC-B467-ED61A5F8B531}"/>
    <hyperlink ref="K98" r:id="rId241" xr:uid="{C7040732-AB89-4A58-9A8F-13988DB71B6A}"/>
    <hyperlink ref="K111" r:id="rId242" xr:uid="{178A869C-1AB1-49CD-8E1E-B0E9D0F9DFAE}"/>
    <hyperlink ref="K119" r:id="rId243" xr:uid="{01C776F8-10AA-458F-A954-5D6D0722121D}"/>
    <hyperlink ref="K159" r:id="rId244" xr:uid="{B0EECB36-23B6-49E3-9176-F5C794979CC4}"/>
    <hyperlink ref="K191" r:id="rId245" xr:uid="{4222F20A-AA96-405C-8A7B-20950E28CDDC}"/>
    <hyperlink ref="X191" r:id="rId246" xr:uid="{ED782BDE-450C-40D6-9C6E-DA3E32451B48}"/>
    <hyperlink ref="AK191" r:id="rId247" xr:uid="{507D1189-FB57-4CF8-AD10-73B823A38F0F}"/>
    <hyperlink ref="K240" r:id="rId248" xr:uid="{707EDD75-2989-4C08-B091-2078FB96D1CD}"/>
    <hyperlink ref="X240" r:id="rId249" xr:uid="{4EB4D390-DD82-44D7-B45A-6E6F7562CE84}"/>
    <hyperlink ref="AK119" r:id="rId250" xr:uid="{EAD75802-F854-4160-801B-969CA86790C8}"/>
    <hyperlink ref="AK100" r:id="rId251" xr:uid="{6BB6F983-5BB0-442B-B7BE-C4C75D7E5D4D}"/>
    <hyperlink ref="AK95" r:id="rId252" xr:uid="{79C6EE5C-E3B7-4C80-8703-1C90327D7682}"/>
    <hyperlink ref="K112" r:id="rId253" xr:uid="{595B1ED7-C385-46EB-A973-38B3DB913CCF}"/>
    <hyperlink ref="X99" r:id="rId254" xr:uid="{5697D58F-12F4-48FB-A47E-441958BD9B41}"/>
    <hyperlink ref="K82" r:id="rId255" xr:uid="{A8686176-4CC3-439B-A607-66BC1AF82446}"/>
    <hyperlink ref="K90" r:id="rId256" xr:uid="{7103D48D-E895-4CD2-97DD-623ED84F0167}"/>
    <hyperlink ref="K99" r:id="rId257" xr:uid="{ED1A8AF3-B0E0-4472-AB41-247EC75534D9}"/>
    <hyperlink ref="K126" r:id="rId258" xr:uid="{7CF9F731-4F69-49E9-A51A-664B57962A54}"/>
    <hyperlink ref="X14" r:id="rId259" xr:uid="{9C6482C8-88CC-4B7B-B015-363B96FE170C}"/>
    <hyperlink ref="AK102" r:id="rId260" xr:uid="{8A31746D-DECB-4AFF-BF2F-B42B858C2C2D}"/>
    <hyperlink ref="X102" r:id="rId261" xr:uid="{0BDF5385-4356-4A15-A7A6-9F69C343CD5C}"/>
    <hyperlink ref="K108" r:id="rId262" xr:uid="{6D74BAF6-33C2-492B-B54B-99233189B24A}"/>
    <hyperlink ref="AK167" r:id="rId263" xr:uid="{800A24F3-8C29-4DB7-91C8-35CD8662D606}"/>
    <hyperlink ref="AK140" r:id="rId264" xr:uid="{F614D615-B703-44BE-8F44-066B50EF5C4C}"/>
    <hyperlink ref="AK118" r:id="rId265" xr:uid="{009E9234-2949-4378-A201-A2C7CC91FE78}"/>
    <hyperlink ref="AK92" r:id="rId266" xr:uid="{FC96E028-4A5F-4C05-BDBA-1D1ED1B9B937}"/>
    <hyperlink ref="K101" r:id="rId267" xr:uid="{13BCEDB6-8CF3-4EC7-906F-DB7738B6EFD7}"/>
    <hyperlink ref="K12" r:id="rId268" xr:uid="{8B0E708A-7DB6-4EA3-AE2A-6B8C024DD089}"/>
    <hyperlink ref="K69" r:id="rId269" xr:uid="{CE5B53E3-35A4-4D49-B5FB-B9450FAF01D2}"/>
    <hyperlink ref="X69" r:id="rId270" xr:uid="{6C72F62A-9238-46DB-9903-D704070D80D9}"/>
    <hyperlink ref="AK69" r:id="rId271" xr:uid="{75185E05-6BF6-4043-BCC5-E8BE58E0230E}"/>
    <hyperlink ref="K58" r:id="rId272" xr:uid="{9A6A61BF-53F8-4AE7-AA6E-21DE3062B291}"/>
    <hyperlink ref="X58" r:id="rId273" xr:uid="{25044B84-B75A-431F-8DC9-620E414B6926}"/>
    <hyperlink ref="AK58" r:id="rId274" xr:uid="{14498128-C3ED-4DA5-B516-F0746B2BD50D}"/>
    <hyperlink ref="X227" r:id="rId275" xr:uid="{0BBB3265-67C7-4142-AEBA-84BD5E964B9A}"/>
    <hyperlink ref="K208" r:id="rId276" xr:uid="{2A59D237-93A9-4516-BB12-EC018BC9FC8C}"/>
    <hyperlink ref="AK227" r:id="rId277" xr:uid="{639F3E75-3B49-4818-AA3E-B9368E07ED90}"/>
    <hyperlink ref="K15" r:id="rId278" xr:uid="{09E4CC7F-30A8-4F93-82F2-619B4D88A2C1}"/>
    <hyperlink ref="X15" r:id="rId279" xr:uid="{6A5BF13D-197F-4D49-9826-BB500FC195B8}"/>
    <hyperlink ref="AK15" r:id="rId280" xr:uid="{7EF4C871-BE8D-4647-B02F-60579FC1186A}"/>
    <hyperlink ref="K16" r:id="rId281" xr:uid="{BE2ED86D-17DB-4662-BA07-F80BB3E667D5}"/>
    <hyperlink ref="X16" r:id="rId282" xr:uid="{D0CACFAC-56A0-425D-BD91-07C3179FDD8D}"/>
    <hyperlink ref="K18" r:id="rId283" xr:uid="{DD881CEE-3568-4D00-8DBD-1951CE922C60}"/>
    <hyperlink ref="X18" r:id="rId284" xr:uid="{A2F9C7A3-D357-4902-8F39-F3CF17997905}"/>
    <hyperlink ref="K20" r:id="rId285" xr:uid="{B11BF650-3A3C-4CB6-BAC5-9F1DEAB79F20}"/>
    <hyperlink ref="X20" r:id="rId286" xr:uid="{EE18E0A1-0F4F-431B-A14E-1F7B5A1A21E3}"/>
    <hyperlink ref="K46" r:id="rId287" xr:uid="{97EFAC64-8269-4BC3-A053-081302C7C4B8}"/>
    <hyperlink ref="X46" r:id="rId288" xr:uid="{BC7777F8-A917-46BB-B6B7-BAA77F94C9AD}"/>
    <hyperlink ref="X139" r:id="rId289" xr:uid="{E15D3E2E-EF11-4ED5-8F12-B65E8B9C6923}"/>
    <hyperlink ref="K199" r:id="rId290" xr:uid="{F6B556EF-7499-4964-80AD-4E18DDE9B2F6}"/>
    <hyperlink ref="X199" r:id="rId291" xr:uid="{7A0D46A7-603F-4ADC-973D-1977979B4AEB}"/>
    <hyperlink ref="K56" r:id="rId292" xr:uid="{0189D17E-3BC5-42ED-876E-E6DBC9CC2D2F}"/>
    <hyperlink ref="X56" r:id="rId293" xr:uid="{52CBBF6C-5E2D-4AF9-A972-4296E4B5057B}"/>
    <hyperlink ref="X27" r:id="rId294" xr:uid="{22651CE2-82D6-4A49-A9CA-DE273B4DA61C}"/>
    <hyperlink ref="AK27" r:id="rId295" xr:uid="{BD39F48B-CA6A-4C67-B705-3507DB3406F2}"/>
    <hyperlink ref="K205" r:id="rId296" xr:uid="{03D7568A-348D-4A29-9AA9-51195C8AF067}"/>
    <hyperlink ref="K55" r:id="rId297" xr:uid="{401E8A73-AFFE-4D46-AAF1-3698A2EE5769}"/>
    <hyperlink ref="X55" r:id="rId298" xr:uid="{0D4C3A39-5D0C-48B1-94E5-4C1A722D0023}"/>
    <hyperlink ref="AK55" r:id="rId299" xr:uid="{B8386645-1CCC-4890-8EA6-0876E917E6F7}"/>
    <hyperlink ref="X72" r:id="rId300" xr:uid="{79ADA7AE-FF09-4AE5-836E-C3FCF87ED176}"/>
    <hyperlink ref="AK46" r:id="rId301" xr:uid="{DF1C108C-8E5C-4E63-9D20-1BF5A0C405B7}"/>
    <hyperlink ref="X198" r:id="rId302" xr:uid="{77671024-BA1C-44B2-9001-B98A601930D1}"/>
    <hyperlink ref="AK198" r:id="rId303" xr:uid="{2690191C-B1F2-4138-9C23-DA5FC45708A4}"/>
    <hyperlink ref="AK199" r:id="rId304" xr:uid="{09C1660E-0791-4044-B290-F86F829C3935}"/>
    <hyperlink ref="K136" r:id="rId305" xr:uid="{88F48C79-7955-4C71-99C7-AD2B4AFA8043}"/>
    <hyperlink ref="AK136" r:id="rId306" xr:uid="{83D83B7A-941B-42AC-AAC0-874FE7214E69}"/>
    <hyperlink ref="K124" r:id="rId307" xr:uid="{AE0ECE55-6CEA-47AD-B02D-414F58C5D46E}"/>
    <hyperlink ref="X124" r:id="rId308" xr:uid="{E9912A58-1A02-43BD-9B35-14F5FBC3AA5E}"/>
    <hyperlink ref="X51" r:id="rId309" xr:uid="{B7545DCF-D7EC-47FC-9A89-21DB36426E09}"/>
    <hyperlink ref="AK18" r:id="rId310" xr:uid="{821693B5-583B-4131-BC68-002ED1AB42F1}"/>
    <hyperlink ref="K87" r:id="rId311" xr:uid="{1411720B-D965-4C89-817A-8793C8521780}"/>
    <hyperlink ref="X87" r:id="rId312" xr:uid="{4142E59B-55DD-43BE-8D45-F4FC9E368C16}"/>
    <hyperlink ref="K217" r:id="rId313" xr:uid="{6A442DA9-CC7A-4AD7-B23F-0208861BE1E4}"/>
    <hyperlink ref="X217" r:id="rId314" xr:uid="{90F980BE-F8E7-4F40-BF7B-31772DFC24F9}"/>
    <hyperlink ref="AK217" r:id="rId315" xr:uid="{EF49EF08-4590-4952-B7B7-B12B7ED03D44}"/>
    <hyperlink ref="K223" r:id="rId316" xr:uid="{89AFE39A-7D8E-47E2-8051-8A7B775E1C6F}"/>
    <hyperlink ref="X223" r:id="rId317" xr:uid="{1C629C21-4F5C-44B9-AC8B-5E570EABD3B4}"/>
    <hyperlink ref="AK87" r:id="rId318" xr:uid="{01A126A3-CC97-4A4D-8E93-BA2216120F7C}"/>
    <hyperlink ref="K224" r:id="rId319" xr:uid="{12C418DD-BFED-4910-AF84-857FBD938036}"/>
    <hyperlink ref="X224" r:id="rId320" xr:uid="{4CC83720-A8B0-47F3-8207-DDBA5F723AAD}"/>
    <hyperlink ref="K218" r:id="rId321" xr:uid="{0155C941-A579-45DF-A749-DE522068E4DE}"/>
    <hyperlink ref="X218" r:id="rId322" xr:uid="{90B3BBF1-E917-4991-AE8A-006806E65E1B}"/>
    <hyperlink ref="K138" r:id="rId323" xr:uid="{E553BE2A-3DC6-45A1-9BF0-CE5CEA931866}"/>
    <hyperlink ref="X138" r:id="rId324" xr:uid="{E3E9030A-4425-4593-8E88-588DD3A3B6CB}"/>
    <hyperlink ref="K221" r:id="rId325" xr:uid="{680BC82A-D514-4F29-B938-2EC053844003}"/>
    <hyperlink ref="X221" r:id="rId326" xr:uid="{372C2454-5199-40A7-BDEF-21BB2C234AFE}"/>
    <hyperlink ref="K222" r:id="rId327" xr:uid="{A6B62A24-BBEE-4B0F-83C0-CAEC1B96E2C3}"/>
    <hyperlink ref="X222" r:id="rId328" xr:uid="{431C5C02-5BF9-4483-8C54-2E54E83F09FF}"/>
    <hyperlink ref="K226" r:id="rId329" xr:uid="{44423EE9-A515-4EC9-A814-75E5A759AD28}"/>
    <hyperlink ref="X226" r:id="rId330" xr:uid="{C635F7E7-ADB3-4434-B2E6-D3E62767ABFF}"/>
    <hyperlink ref="AK226" r:id="rId331" xr:uid="{42DB14C5-4356-4773-AD8A-1242713409AE}"/>
    <hyperlink ref="K219" r:id="rId332" xr:uid="{DA10DDF8-3DBE-401A-9E95-0A72AB126590}"/>
    <hyperlink ref="X219" r:id="rId333" xr:uid="{F3CF63A6-A269-44A0-958D-3B053B4C0CE3}"/>
    <hyperlink ref="X123" r:id="rId334" xr:uid="{FE0AED6E-6B1A-49C1-93BA-4189FA86AA31}"/>
    <hyperlink ref="X144" r:id="rId335" xr:uid="{33DDD27F-6119-4C06-8A38-4F519FCC1DD9}"/>
    <hyperlink ref="AK144" r:id="rId336" xr:uid="{7B284340-E1B6-4700-AD36-0018A2B4DA36}"/>
    <hyperlink ref="K146" r:id="rId337" xr:uid="{2CD5CBD4-FEB2-47DA-BC33-D44A05A7F81F}"/>
    <hyperlink ref="AK147" r:id="rId338" xr:uid="{7727D8CF-E65C-4513-AB70-61418CAA1B31}"/>
    <hyperlink ref="X220" r:id="rId339" xr:uid="{43DAE231-7345-4C34-B89E-CC47717805BA}"/>
    <hyperlink ref="K220" r:id="rId340" xr:uid="{BF9719E2-6F6D-40EC-90C2-99E57B127419}"/>
    <hyperlink ref="K225" r:id="rId341" xr:uid="{60BCEC01-C61F-4C27-85B9-914E72B14271}"/>
    <hyperlink ref="X225" r:id="rId342" xr:uid="{02496CF8-B48C-4C0D-BAA0-5DD89EB422E7}"/>
    <hyperlink ref="AK225" r:id="rId343" xr:uid="{7F3B8649-16AB-4487-803F-EDAC76B1F43D}"/>
    <hyperlink ref="K75" r:id="rId344" xr:uid="{D7D84346-3415-4E18-97E2-C4CCB698C002}"/>
    <hyperlink ref="K152" r:id="rId345" xr:uid="{D9EACC9B-1334-442F-86AF-5EF732ADA362}"/>
    <hyperlink ref="X74" r:id="rId346" xr:uid="{256FD3B7-9FD7-4DE1-8AC3-8DD7FC3136CC}"/>
    <hyperlink ref="K73" r:id="rId347" xr:uid="{C9AC6CE7-F17F-493D-90F6-C3E61827624B}"/>
    <hyperlink ref="K156" r:id="rId348" xr:uid="{3A713E97-0496-4425-A4D3-30AA4C803F36}"/>
    <hyperlink ref="K67" r:id="rId349" xr:uid="{55FA5A47-26AE-4EE4-8DE3-C68C5E40996C}"/>
    <hyperlink ref="X67" r:id="rId350" xr:uid="{BE1DABC8-623A-4AC0-B02E-C0F19320901A}"/>
    <hyperlink ref="K60" r:id="rId351" xr:uid="{89BDA6C8-0897-49B4-94E6-85920999E73A}"/>
    <hyperlink ref="X60" r:id="rId352" xr:uid="{FCAD9478-A815-4D7D-9DD0-E5A09A8FCCB0}"/>
    <hyperlink ref="AK60" r:id="rId353" xr:uid="{64C60C3F-F382-41D1-9F8F-D9599F1E31BD}"/>
    <hyperlink ref="AK157" r:id="rId354" xr:uid="{ABFF377A-D057-42D4-B5C0-E0BC28C03111}"/>
    <hyperlink ref="K59" r:id="rId355" xr:uid="{2BFCF6FA-BB1E-4B14-AC4D-9AE837356CBA}"/>
    <hyperlink ref="X59" r:id="rId356" xr:uid="{F614A4E5-66E8-4FB0-AE17-5757161AE26C}"/>
    <hyperlink ref="AK59" r:id="rId357" xr:uid="{B07D9515-C5B1-49D2-BF43-2455288C112E}"/>
    <hyperlink ref="K54" r:id="rId358" xr:uid="{380F0379-CBB6-4534-A324-EBECE4320D79}"/>
    <hyperlink ref="X54" r:id="rId359" xr:uid="{9DEA2229-EBF6-4793-9874-843F6C798392}"/>
    <hyperlink ref="AK54" r:id="rId360" xr:uid="{029F7672-23AF-4753-BB55-91D2EE164D54}"/>
    <hyperlink ref="K232" r:id="rId361" xr:uid="{A3EF8118-00E0-4B94-97F5-F3B0DD65B120}"/>
    <hyperlink ref="X232" r:id="rId362" xr:uid="{151B9128-8977-45C3-85AF-7564ADEB0401}"/>
    <hyperlink ref="AK160" r:id="rId363" xr:uid="{4DEFCB51-1CAA-4C72-9576-3065D3EFB470}"/>
    <hyperlink ref="X190" r:id="rId364" xr:uid="{52BDCC1E-3787-4223-A6C9-23C7D42D3DA0}"/>
    <hyperlink ref="K162" r:id="rId365" xr:uid="{E37C454C-0B79-450F-A8D4-62396C49138B}"/>
    <hyperlink ref="X162" r:id="rId366" xr:uid="{1AEC8038-9AD3-4055-BB12-8F877FFE1526}"/>
    <hyperlink ref="AK85" r:id="rId367" xr:uid="{1C3249DB-BA87-4EE6-A0C8-69A9C495FB82}"/>
    <hyperlink ref="X206" r:id="rId368" xr:uid="{790CE2C5-20C9-4687-A0C9-2A89958D2E31}"/>
    <hyperlink ref="K207" r:id="rId369" xr:uid="{1EA559EB-70A4-4E3D-AADB-53353353CFD7}"/>
    <hyperlink ref="K209" r:id="rId370" xr:uid="{C685472F-D827-4BB0-ABD3-7953E463795D}"/>
    <hyperlink ref="X210" r:id="rId371" xr:uid="{F6FDF693-389C-435F-9B8E-3D9485E6BB59}"/>
    <hyperlink ref="X107" r:id="rId372" xr:uid="{1E65D39A-02B3-4D66-99A0-07083B91A545}"/>
    <hyperlink ref="X183" r:id="rId373" xr:uid="{C6095E16-A8D1-427C-BC13-A69178670E08}"/>
    <hyperlink ref="X184" r:id="rId374" xr:uid="{83460847-7FD8-459E-8E4C-EC644798D62B}"/>
    <hyperlink ref="X245" r:id="rId375" xr:uid="{F9020982-9CFC-4650-876D-36D697581625}"/>
    <hyperlink ref="AK124" r:id="rId376" xr:uid="{60F25B88-5143-4769-8819-3CB883113701}"/>
    <hyperlink ref="K117" r:id="rId377" xr:uid="{6180928D-E201-4B08-B7A7-BD1A131D03B1}"/>
    <hyperlink ref="X117" r:id="rId378" xr:uid="{8E2BEB46-45B4-4163-8BCE-0CC4FEC485AF}"/>
    <hyperlink ref="AK117" r:id="rId379" xr:uid="{3C20F3BD-B4D9-4AB5-85EF-5088EB3101A6}"/>
    <hyperlink ref="AK182" r:id="rId380" xr:uid="{36E2E36A-6D37-482B-B2E3-9A3B2E62657C}"/>
    <hyperlink ref="AK186" r:id="rId381" xr:uid="{F00642C3-1E5F-475C-97EB-674CE0FF24A0}"/>
    <hyperlink ref="AK64:AK65" r:id="rId382" display="SGD_ VARIOS 19-02-2026 SAS" xr:uid="{C4E09D43-F265-478E-87DF-670CF66732C4}"/>
    <hyperlink ref="AK104" r:id="rId383" xr:uid="{DE9F6647-38B5-426C-84C8-798A75907DC7}"/>
    <hyperlink ref="AK246" r:id="rId384" xr:uid="{21D30494-D3E7-4D01-A39E-0792E4AD3EA0}"/>
    <hyperlink ref="K245" r:id="rId385" xr:uid="{FF37F7E3-1390-42B5-BBAC-6E092C9CEE37}"/>
    <hyperlink ref="K11" r:id="rId386" xr:uid="{0F23D5DD-F14D-4BAA-ABAA-C86E89739502}"/>
    <hyperlink ref="K107" r:id="rId387" xr:uid="{C608FBA4-6255-4D20-B2A0-F6634EC6B657}"/>
    <hyperlink ref="K141" r:id="rId388" xr:uid="{B6F01F35-F808-4A81-953A-6CE72EC77689}"/>
    <hyperlink ref="K182" r:id="rId389" xr:uid="{934FC01B-2D10-429F-AA6F-AFC1CD77F5DD}"/>
    <hyperlink ref="K246" r:id="rId390" xr:uid="{58D8D18C-04A8-48F6-B7C0-329DF775AED2}"/>
    <hyperlink ref="K143" r:id="rId391" xr:uid="{BA78715A-3F9B-4158-8FBC-570D41CDD262}"/>
    <hyperlink ref="X143" r:id="rId392" xr:uid="{BCB425A8-49D3-4FFC-8D90-11E08CB01249}"/>
    <hyperlink ref="AK143" r:id="rId393" xr:uid="{51859D36-CBBD-41AA-BA68-1DA7F1885D44}"/>
    <hyperlink ref="X247" r:id="rId394" xr:uid="{321BA0B6-9995-4BB8-B14C-DDC719E0B6A2}"/>
    <hyperlink ref="AK247" r:id="rId395" xr:uid="{91546620-F3BD-450B-8B00-A764020B1B61}"/>
    <hyperlink ref="K17" r:id="rId396" xr:uid="{08D07ACE-E98C-4468-A70B-15C71D515B5A}"/>
    <hyperlink ref="X17" r:id="rId397" xr:uid="{C088E6D7-925D-42B0-B7D8-F11A37A68933}"/>
    <hyperlink ref="AK17" r:id="rId398" xr:uid="{5776F5E0-915D-4ACA-BE95-3E65DD2FA6DB}"/>
    <hyperlink ref="K66" r:id="rId399" xr:uid="{F2FD7CBE-9598-4EDE-A16E-58DC37C85A68}"/>
    <hyperlink ref="X66" r:id="rId400" xr:uid="{372754A6-2F04-4D8A-820B-04067AC00FFD}"/>
    <hyperlink ref="X73" r:id="rId401" xr:uid="{6263D553-4D92-4B00-ACE9-97CDEF50196B}"/>
    <hyperlink ref="K74" r:id="rId402" xr:uid="{DAA0DF7B-2A4E-44C1-AB68-570F4D7111BF}"/>
    <hyperlink ref="K85" r:id="rId403" xr:uid="{570BFC6F-7231-4D67-BA1D-D03F75FD2C1E}"/>
    <hyperlink ref="X75" r:id="rId404" xr:uid="{5450F655-A528-44A4-8C54-824771A2358C}"/>
    <hyperlink ref="AK218" r:id="rId405" xr:uid="{41A1046E-9627-4338-8F4B-0A80A167F7AA}"/>
    <hyperlink ref="K228" r:id="rId406" xr:uid="{600A7631-DB18-40A0-95AE-88AA03D5EC4F}"/>
    <hyperlink ref="X228" r:id="rId407" xr:uid="{8A070C94-54DF-4D06-A1E9-26A90235298C}"/>
    <hyperlink ref="K204" r:id="rId408" xr:uid="{04E82BC7-82E4-48EA-80C1-282CB8241430}"/>
    <hyperlink ref="K210" r:id="rId409" xr:uid="{6FBF86E8-BB76-4865-9078-C451148BDA18}"/>
    <hyperlink ref="X204" r:id="rId410" xr:uid="{C8A4B1A0-292F-409B-808F-0791AEEB8FD3}"/>
    <hyperlink ref="X11" r:id="rId411" xr:uid="{D1D12A02-A041-4278-A19A-E4856E7ED6C7}"/>
    <hyperlink ref="X205" r:id="rId412" xr:uid="{CB034253-CD55-445A-9E1F-2B275669F08B}"/>
    <hyperlink ref="X207" r:id="rId413" xr:uid="{D6DA5D07-19D1-45EF-B1F7-243C26CF9B03}"/>
    <hyperlink ref="X208" r:id="rId414" xr:uid="{F1ADA7D8-2566-497C-8D30-E5F14DE5C877}"/>
    <hyperlink ref="X209" r:id="rId415" xr:uid="{1E5967F8-B934-4EB5-8249-4B269FF94723}"/>
    <hyperlink ref="K206" r:id="rId416" xr:uid="{B56715FB-B0B6-44FE-ABC4-85FF5A50F3AD}"/>
    <hyperlink ref="X211" r:id="rId417" xr:uid="{8B39C1D5-9B12-4045-823B-9CC3DCE6B1AE}"/>
    <hyperlink ref="K211" r:id="rId418" xr:uid="{CBFBD8C2-137D-4F27-B69A-6C90170224C8}"/>
    <hyperlink ref="AK222" r:id="rId419" xr:uid="{00E866DE-4883-4806-8236-7B5A5BE05F76}"/>
    <hyperlink ref="K139" r:id="rId420" xr:uid="{EAD57889-90A6-408C-9A7A-FCA62DEAE7F9}"/>
    <hyperlink ref="X12" r:id="rId421" xr:uid="{1CDD0839-D1FA-49AA-8339-0E4DA7FDBF42}"/>
    <hyperlink ref="AK12" r:id="rId422" xr:uid="{49481E89-E55C-4643-9221-DF45A44CAAD7}"/>
    <hyperlink ref="AK20" r:id="rId423" xr:uid="{233F7C66-716D-4529-9F6D-4E2FDB3AD988}"/>
    <hyperlink ref="K102" r:id="rId424" xr:uid="{8EAA76CB-538A-4B00-89CE-8666D056DE98}"/>
    <hyperlink ref="X103" r:id="rId425" xr:uid="{50CA1861-B7DB-4A8F-9810-A68B30D6CE4D}"/>
    <hyperlink ref="K103" r:id="rId426" xr:uid="{17E38088-88B6-4DDA-A65D-E1E55E6D90CB}"/>
    <hyperlink ref="K27" r:id="rId427" xr:uid="{12C0AEC9-6BF4-4FCB-BBEC-053287E41159}"/>
    <hyperlink ref="K125" r:id="rId428" xr:uid="{33CD7A32-5A54-49C4-BB00-245C4F90CD17}"/>
    <hyperlink ref="X125" r:id="rId429" xr:uid="{C6E4CEDC-4B3C-4F51-9973-DEB4E1D670AC}"/>
    <hyperlink ref="AK125" r:id="rId430" xr:uid="{5B895E8C-3C44-47C4-A3A4-FD649A3A4939}"/>
    <hyperlink ref="K198" r:id="rId431" xr:uid="{4870E525-5A8D-4E49-AF66-36249E52114E}"/>
    <hyperlink ref="K247" r:id="rId432" xr:uid="{BB487F7D-D68F-4FF2-9D3A-99CAA07B1E3B}"/>
    <hyperlink ref="AK135" r:id="rId433" xr:uid="{244E9C3F-BC22-44DA-BCF7-269C932411C8}"/>
    <hyperlink ref="K135" r:id="rId434" xr:uid="{B6BF3F27-6F40-4771-BC3F-E940396FA5A1}"/>
    <hyperlink ref="K134" r:id="rId435" xr:uid="{992DBC21-F5EF-4762-997E-755C1252D9E7}"/>
    <hyperlink ref="AK134" r:id="rId436" xr:uid="{509DAB7A-4145-4FA1-946D-DE03D75E0853}"/>
    <hyperlink ref="K133" r:id="rId437" xr:uid="{686F37E3-F719-4225-9456-5BAA7C0C740B}"/>
    <hyperlink ref="X134" r:id="rId438" xr:uid="{7F621CD3-0D29-4C15-BD8F-28F110FCE14D}"/>
    <hyperlink ref="X135" r:id="rId439" xr:uid="{D86F6A7A-EAE6-437B-9095-822906C97DC5}"/>
    <hyperlink ref="X133" r:id="rId440" xr:uid="{937840D7-92AA-48E7-B816-C1EF4827B40F}"/>
    <hyperlink ref="AK133" r:id="rId441" xr:uid="{DF3572E6-DDBA-497A-82D4-A9149C1C402C}"/>
    <hyperlink ref="K200" r:id="rId442" xr:uid="{D2FC4E59-39AE-43F4-B253-23E6596D0BA3}"/>
    <hyperlink ref="X200" r:id="rId443" xr:uid="{F4BF9213-D10E-4323-A1C2-5E2721F4427F}"/>
    <hyperlink ref="X4" r:id="rId444" xr:uid="{989E2B23-1EB3-401F-B1DB-AAE38D5A7B6B}"/>
    <hyperlink ref="K3" r:id="rId445" xr:uid="{9A922ACB-2BAD-49B7-9A79-DA7F155763D4}"/>
    <hyperlink ref="AK3" r:id="rId446" xr:uid="{3BF1B68D-F580-47AE-BEBC-3C31DC4034BA}"/>
    <hyperlink ref="X8" r:id="rId447" xr:uid="{E2BCFEFB-653C-4D60-AD4B-E8B4F741C1B7}"/>
    <hyperlink ref="AK4" r:id="rId448" xr:uid="{5688B374-2488-42BC-B772-3D7DF7481517}"/>
    <hyperlink ref="K4" r:id="rId449" xr:uid="{2E9A8A03-3830-46AA-8FA2-D13C5E1A9284}"/>
    <hyperlink ref="X9" r:id="rId450" xr:uid="{FAC988BD-7484-463E-860D-8961C5601D81}"/>
    <hyperlink ref="K9" r:id="rId451" xr:uid="{FF56B812-3F56-4783-A60F-70B18E8DCF17}"/>
    <hyperlink ref="AK9" r:id="rId452" xr:uid="{AE9EF223-39DC-4521-AAF3-DD6DC73DFA74}"/>
    <hyperlink ref="K8" r:id="rId453" xr:uid="{68069253-E4C9-49E1-8612-78F389F67F5D}"/>
    <hyperlink ref="K6" r:id="rId454" xr:uid="{EBD554BB-80F9-4CA7-8624-86FAEB371E36}"/>
    <hyperlink ref="AK6" r:id="rId455" xr:uid="{34965676-99BE-4B97-B0A6-8ECADA09034C}"/>
    <hyperlink ref="X6" r:id="rId456" xr:uid="{AAE0E4C1-8CE9-49B3-B190-BF31F780FE77}"/>
    <hyperlink ref="AK8" r:id="rId457" xr:uid="{1F88E9BF-CF07-4A26-889F-6264B5E7DDFA}"/>
    <hyperlink ref="X3" r:id="rId458" xr:uid="{EB121324-09A3-4273-963B-FB25D92EB888}"/>
    <hyperlink ref="X7" r:id="rId459" xr:uid="{357A82D9-F56E-40CB-AF3B-E5AB79E9A3F1}"/>
    <hyperlink ref="AK5" r:id="rId460" xr:uid="{3C773F76-137A-4CDD-BC8F-F11DD332F4B7}"/>
    <hyperlink ref="X5" r:id="rId461" xr:uid="{44D4E6BA-B123-4156-83CC-53964DA5823F}"/>
    <hyperlink ref="AK7" r:id="rId462" xr:uid="{B1A2BF8D-6809-4144-BB00-00E4D0D5A069}"/>
    <hyperlink ref="K7" r:id="rId463" xr:uid="{38533919-CE8E-4E4E-8F62-8FD5E4EC741F}"/>
    <hyperlink ref="K5" r:id="rId464" xr:uid="{A7D0ED98-98F4-4E8B-BE61-B6C28CEDD752}"/>
    <hyperlink ref="K227" r:id="rId465" xr:uid="{226BB250-3463-4C7D-95CD-3CD4DA99BBFA}"/>
    <hyperlink ref="AK193" r:id="rId466" xr:uid="{4F7E2217-FCD2-4205-B6C5-2E5B2ADF665A}"/>
    <hyperlink ref="K248" r:id="rId467" display="https://gobiernobogota-my.sharepoint.com/:b:/g/personal/planeacion_suba_gobiernobogota_gov_co/IQD8-fB7Z31xT6iWaNZyHgITAaIKNdPyHjGXDDRwvXNIe00?e=G4mk3i" xr:uid="{C29CE4E8-2035-4828-AC89-69D0BE6BA031}"/>
    <hyperlink ref="M248" r:id="rId468" display="https://gobiernobogota-my.sharepoint.com/:b:/g/personal/planeacion_suba_gobiernobogota_gov_co/IQD8-fB7Z31xT6iWaNZyHgITAaIKNdPyHjGXDDRwvXNIe00?e=qNJcBu" xr:uid="{F11FC7A5-83E5-4CD1-889C-52FA0A432D3C}"/>
    <hyperlink ref="X248" r:id="rId469" display="https://gobiernobogota-my.sharepoint.com/:b:/g/personal/planeacion_suba_gobiernobogota_gov_co/IQBhCn_ulhVpQrfNV0b_rqN9Af-WrBp-g-r2TsiWZBvQUbM?e=9oGF5b" xr:uid="{4656A63C-7299-4808-9221-C56C936819DB}"/>
    <hyperlink ref="Z248" r:id="rId470" display="https://gobiernobogota-my.sharepoint.com/:b:/g/personal/planeacion_suba_gobiernobogota_gov_co/IQBhCn_ulhVpQrfNV0b_rqN9Af-WrBp-g-r2TsiWZBvQUbM?e=jl7x1V" xr:uid="{C84ED0A3-D509-4AB0-ADE8-9FCF97CC55DF}"/>
    <hyperlink ref="AK248" r:id="rId471" display="https://gobiernobogota-my.sharepoint.com/:b:/g/personal/planeacion_suba_gobiernobogota_gov_co/IQC3tzlDQVcdTIBJ2ywZMSlBAckUzIYikX0AZjRY-t9lHh4?e=R8FFCw" xr:uid="{1463C046-C26D-410A-8251-C4D9F3182BD3}"/>
    <hyperlink ref="AM248" r:id="rId472" display="https://gobiernobogota-my.sharepoint.com/:b:/g/personal/planeacion_suba_gobiernobogota_gov_co/IQC3tzlDQVcdTIBJ2ywZMSlBAckUzIYikX0AZjRY-t9lHh4?e=R8FFCw" xr:uid="{1396E532-9CAF-43DF-A033-55E5E5F08B5C}"/>
    <hyperlink ref="K249" r:id="rId473" display="https://gobiernobogota-my.sharepoint.com/:b:/g/personal/planeacion_suba_gobiernobogota_gov_co/IQBJPW5Nj37YRoGqmmbxODi6AZRZ8VHrmEMMLpjJRa1_rT0?e=XFbbfG" xr:uid="{70502AEF-B802-4ADF-8D3F-6D9779C2FFF2}"/>
    <hyperlink ref="M249" r:id="rId474" display="https://gobiernobogota-my.sharepoint.com/:b:/g/personal/planeacion_suba_gobiernobogota_gov_co/IQBJPW5Nj37YRoGqmmbxODi6AZRZ8VHrmEMMLpjJRa1_rT0?e=YEB19y" xr:uid="{256A8FFF-6991-4917-967B-800DF1BFC7E1}"/>
    <hyperlink ref="X249" r:id="rId475" display="https://gobiernobogota-my.sharepoint.com/:b:/g/personal/planeacion_suba_gobiernobogota_gov_co/IQC3tzlDQVcdTIBJ2ywZMSlBAckUzIYikX0AZjRY-t9lHh4?e=xWxWGQ" xr:uid="{3FC14F53-3F57-4D08-A3D3-F209145E7B4B}"/>
    <hyperlink ref="Z249" r:id="rId476" display="https://gobiernobogota-my.sharepoint.com/:b:/g/personal/planeacion_suba_gobiernobogota_gov_co/IQC3tzlDQVcdTIBJ2ywZMSlBAckUzIYikX0AZjRY-t9lHh4?e=R8FFCw" xr:uid="{3019090F-6AC5-4EA9-9480-8C3C09D7CD10}"/>
    <hyperlink ref="AK249" r:id="rId477" display="https://gobiernobogota-my.sharepoint.com/:b:/g/personal/planeacion_suba_gobiernobogota_gov_co/IQDJsXKkvhhLR6UftJkxWDi7AUPn8yyc2qiNhvVizmwwIE0?e=0l8yMN" xr:uid="{311B8D79-5148-4CF2-966A-6889FA921861}"/>
    <hyperlink ref="AM249" r:id="rId478" display="https://gobiernobogota-my.sharepoint.com/:b:/g/personal/planeacion_suba_gobiernobogota_gov_co/IQDJsXKkvhhLR6UftJkxWDi7AUPn8yyc2qiNhvVizmwwIE0?e=0l8yMN" xr:uid="{0F139169-4501-4751-9478-2487D6AFA578}"/>
    <hyperlink ref="K250" r:id="rId479" display="https://gobiernobogota-my.sharepoint.com/:b:/g/personal/planeacion_suba_gobiernobogota_gov_co/IQBQDjV9qeY8R5ZK877J9DOWARGWf1EshwyucPNASOALmBE?e=Iivbtn" xr:uid="{E5480050-B75D-464B-B87D-BC8309B4AC01}"/>
    <hyperlink ref="X250" r:id="rId480" display="https://gobiernobogota-my.sharepoint.com/:b:/g/personal/planeacion_suba_gobiernobogota_gov_co/IQAy9Cmm21v_QbryecsWiLMPAT22tJzzWOkTkXGZzpO5b6U?e=djEsdz" xr:uid="{7AE21853-3B9C-4EA3-AF7C-E0E68E21B74C}"/>
    <hyperlink ref="AK250" r:id="rId481" display="https://gobiernobogota-my.sharepoint.com/:b:/g/personal/planeacion_suba_gobiernobogota_gov_co/IQDLjogTg270RoPpWYs8pJqHARFRYnU-0tbtVmN8igFVGxk?e=sksxuX" xr:uid="{3362D665-0E39-43FF-86FA-33DDE9C4C1D8}"/>
    <hyperlink ref="K251" r:id="rId482" display="https://gobiernobogota-my.sharepoint.com/:b:/g/personal/planeacion_suba_gobiernobogota_gov_co/IQCOPM8ldyOlTZ80CqEXwIn8AX-cx7kMMoFydOa39O_PZRY?e=Iglx0Q" xr:uid="{7C99B812-FDC7-460A-A6C1-85EB5B63854E}"/>
    <hyperlink ref="X251" r:id="rId483" display="https://gobiernobogota-my.sharepoint.com/:b:/g/personal/planeacion_suba_gobiernobogota_gov_co/IQBk3p8esyFmQ7JIYBOmp1ugAVur5sWsQIJ6EqlcXJmkAhU?e=S8EgrA" xr:uid="{6574818E-9096-45D6-BC6A-E2F5E23C387D}"/>
    <hyperlink ref="AK251" r:id="rId484" display="https://gobiernobogota-my.sharepoint.com/:b:/g/personal/planeacion_suba_gobiernobogota_gov_co/IQBOj4gepViEQIaggQMtw5R9AVhaFKBqymvYvovMp3pKGvY?e=dsiY1H" xr:uid="{A490E38F-2D94-4E51-8C45-B11AAA0922A3}"/>
    <hyperlink ref="K252" r:id="rId485" display="https://gobiernobogota-my.sharepoint.com/:b:/g/personal/planeacion_suba_gobiernobogota_gov_co/IQBusIu3iBbCSLLjThmedfFnAQB7ntcnjhb9msWBxAmAhvg?e=IUUy6d" xr:uid="{C321B090-C028-42A9-AECD-970A6CB46E80}"/>
    <hyperlink ref="X252" r:id="rId486" display="https://gobiernobogota-my.sharepoint.com/:b:/g/personal/planeacion_suba_gobiernobogota_gov_co/IQB-PFpEgkvtRpiNspW5H5cwATOP1F4PvfLo0vSB7F4VOEg?e=cbjeMz" xr:uid="{A1369554-F513-44BE-AB25-7565B5BE2BDC}"/>
    <hyperlink ref="AK252" r:id="rId487" display="https://gobiernobogota-my.sharepoint.com/:b:/g/personal/planeacion_suba_gobiernobogota_gov_co/IQB-PFpEgkvtRpiNspW5H5cwATOP1F4PvfLo0vSB7F4VOEg?e=cbjeMz" xr:uid="{5FDA958B-1D65-47A9-A2A5-339B073ECD86}"/>
    <hyperlink ref="K253" r:id="rId488" display="https://gobiernobogota-my.sharepoint.com/:b:/g/personal/planeacion_suba_gobiernobogota_gov_co/IQCOPM8ldyOlTZ80CqEXwIn8AX-cx7kMMoFydOa39O_PZRY?e=Iglx0Q" xr:uid="{EA177BB5-4F7F-4CA0-9AB3-560D2A144F94}"/>
    <hyperlink ref="X253" r:id="rId489" display="https://gobiernobogota-my.sharepoint.com/:b:/g/personal/planeacion_suba_gobiernobogota_gov_co/IQCQ0N-NvhCORLW0fyz11GclAffE_p4QKndAc9LoCoZB7BI?e=ivmHj5" xr:uid="{A8050B73-DA70-483A-BC62-E3043E2AAFA1}"/>
    <hyperlink ref="AK253" r:id="rId490" display="https://gobiernobogota-my.sharepoint.com/:b:/g/personal/planeacion_suba_gobiernobogota_gov_co/IQBOj4gepViEQIaggQMtw5R9AVhaFKBqymvYvovMp3pKGvY?e=dsiY1H" xr:uid="{56C7A603-2ED8-448E-9BBC-2E45DCE95FE0}"/>
    <hyperlink ref="K254" r:id="rId491" display="https://gobiernobogota-my.sharepoint.com/:b:/g/personal/planeacion_suba_gobiernobogota_gov_co/IQBusIu3iBbCSLLjThmedfFnAQB7ntcnjhb9msWBxAmAhvg?e=4AkMWL" xr:uid="{379E67A6-312A-4A3A-A562-2B369A16E049}"/>
    <hyperlink ref="X254" r:id="rId492" display="https://gobiernobogota-my.sharepoint.com/:b:/g/personal/planeacion_suba_gobiernobogota_gov_co/IQB-PFpEgkvtRpiNspW5H5cwATOP1F4PvfLo0vSB7F4VOEg?e=blz1zp" xr:uid="{48501534-3F7D-41BF-89BB-607A20EA64A4}"/>
    <hyperlink ref="AK254" r:id="rId493" display="https://gobiernobogota-my.sharepoint.com/:b:/g/personal/planeacion_suba_gobiernobogota_gov_co/IQBCUOWtB2-lRq5jVpJv8o44AdiCKeoqI2gZKPq5zFCV3ck?e=WAFjbO" xr:uid="{904C6BA6-610F-4C7F-9EDF-FFBBAB4BC952}"/>
    <hyperlink ref="K255" r:id="rId494" display="https://gobiernobogota-my.sharepoint.com/:b:/g/personal/planeacion_suba_gobiernobogota_gov_co/IQCOPM8ldyOlTZ80CqEXwIn8AX-cx7kMMoFydOa39O_PZRY?e=Iglx0Q" xr:uid="{5E9D9070-D8DD-49B1-9F05-5AC7BE1CEEE9}"/>
    <hyperlink ref="X255" r:id="rId495" display="https://gobiernobogota-my.sharepoint.com/:b:/g/personal/planeacion_suba_gobiernobogota_gov_co/IQB2Z-VLBCaaTYCoiSTATQM7Adfv3nyUriEMK8CggzXMVXQ?e=hJ4mMx" xr:uid="{36558694-D90D-436E-A0EE-6B5820083873}"/>
    <hyperlink ref="AK255" r:id="rId496" display="https://gobiernobogota-my.sharepoint.com/:b:/g/personal/planeacion_suba_gobiernobogota_gov_co/IQBOj4gepViEQIaggQMtw5R9AVhaFKBqymvYvovMp3pKGvY?e=dsiY1H" xr:uid="{F72D656C-7E51-41DE-8096-822273AE1313}"/>
    <hyperlink ref="K256" r:id="rId497" display="https://gobiernobogota-my.sharepoint.com/:b:/g/personal/planeacion_suba_gobiernobogota_gov_co/IQBJ4aw99gzCTqWk9UBx-rYKAdNZNQY8ts01IZ-gtgs2s9s?e=bsIbbX" xr:uid="{6BA82C2C-E0CC-4654-BA99-BBEE8097A4CD}"/>
    <hyperlink ref="X256" r:id="rId498" display="https://gobiernobogota-my.sharepoint.com/:b:/g/personal/planeacion_suba_gobiernobogota_gov_co/IQAKlicOjUm5QpYSJXdFVPqCAdrgS-IrCoCEM38F5-L2BWs?e=4u1ZKl" xr:uid="{B9E55B6B-E271-4FE9-AA3C-BB4C37C2AC57}"/>
    <hyperlink ref="AK256" r:id="rId499" display="https://gobiernobogota-my.sharepoint.com/:b:/g/personal/planeacion_suba_gobiernobogota_gov_co/IQBuVAuH6sK1Q6xsMzmPwPbCAfwI6dpNJom4nbigj6Q0IOI?e=aqiA0t" xr:uid="{63D97D2D-8200-42EB-BD5F-0CBB93344C6A}"/>
    <hyperlink ref="K257" r:id="rId500" display="https://gobiernobogota-my.sharepoint.com/:b:/g/personal/planeacion_suba_gobiernobogota_gov_co/IQDm6FfCAAl8SKoS35nj-axfAbcFLv2W88Pt9pEWYFD0kyA?e=Lt5hif" xr:uid="{C9A41C2C-986F-4AC7-84A6-F2A2F6F78B5A}"/>
    <hyperlink ref="X257" r:id="rId501" display="https://gobiernobogota-my.sharepoint.com/:b:/g/personal/planeacion_suba_gobiernobogota_gov_co/IQAKlicOjUm5QpYSJXdFVPqCAdrgS-IrCoCEM38F5-L2BWs?e=4u1ZKl" xr:uid="{44937017-39DA-440F-8A98-184D99C2C7F3}"/>
    <hyperlink ref="AK257" r:id="rId502" display="https://gobiernobogota-my.sharepoint.com/:b:/g/personal/planeacion_suba_gobiernobogota_gov_co/IQBJ4aw99gzCTqWk9UBx-rYKAdNZNQY8ts01IZ-gtgs2s9s?e=gDdbKW" xr:uid="{ACB1CDF8-F3A7-42C1-8465-15CA149C1DF0}"/>
    <hyperlink ref="K258" r:id="rId503" display="https://gobiernobogota-my.sharepoint.com/:b:/g/personal/planeacion_suba_gobiernobogota_gov_co/IQBJ4aw99gzCTqWk9UBx-rYKAdNZNQY8ts01IZ-gtgs2s9s?e=dkPgAf" xr:uid="{F2217DEF-1D87-4929-BD64-B923C5AAA78A}"/>
    <hyperlink ref="X258" r:id="rId504" display="https://gobiernobogota-my.sharepoint.com/:b:/g/personal/planeacion_suba_gobiernobogota_gov_co/IQBNkkwI3IyfSoXnksSZl4n5AV83gg_AOgsWMLZTVe3DnXI?e=MbBsmq" xr:uid="{C2BE72ED-65D3-4DBB-8968-74CF60B1CDC7}"/>
    <hyperlink ref="AK258" r:id="rId505" display="https://gobiernobogota-my.sharepoint.com/:b:/g/personal/planeacion_suba_gobiernobogota_gov_co/IQAKlicOjUm5QpYSJXdFVPqCAdrgS-IrCoCEM38F5-L2BWs?e=4u1ZKl" xr:uid="{E85BA498-DEF8-45F2-B312-7D56D26C979F}"/>
    <hyperlink ref="K259" r:id="rId506" display="https://gobiernobogota-my.sharepoint.com/:b:/g/personal/planeacion_suba_gobiernobogota_gov_co/IQBJ4aw99gzCTqWk9UBx-rYKAdNZNQY8ts01IZ-gtgs2s9s?e=dkPgAf" xr:uid="{5CF52930-0933-483B-8B21-D209FA111DC4}"/>
    <hyperlink ref="X259" r:id="rId507" display="https://gobiernobogota-my.sharepoint.com/:b:/g/personal/planeacion_suba_gobiernobogota_gov_co/IQBNkkwI3IyfSoXnksSZl4n5AV83gg_AOgsWMLZTVe3DnXI?e=MbBsmq" xr:uid="{C2FA6D42-C2F6-47DE-8CCF-6AB05C420C82}"/>
    <hyperlink ref="AK259" r:id="rId508" display="https://gobiernobogota-my.sharepoint.com/:b:/g/personal/planeacion_suba_gobiernobogota_gov_co/IQAKlicOjUm5QpYSJXdFVPqCAdrgS-IrCoCEM38F5-L2BWs?e=4u1ZKl" xr:uid="{585D7352-0E22-410C-B54C-AE9BA05E38FA}"/>
    <hyperlink ref="K260" r:id="rId509" display="https://gobiernobogota-my.sharepoint.com/:b:/g/personal/planeacion_suba_gobiernobogota_gov_co/IQCSAF-vEBS9QprBpnC49V8UATTs8CLO_3UewueWfGbK8GM?e=OkagtV" xr:uid="{5ABABDEB-BBFE-4564-868C-3E542EC07B9B}"/>
    <hyperlink ref="X260" r:id="rId510" display="https://gobiernobogota-my.sharepoint.com/:b:/g/personal/planeacion_suba_gobiernobogota_gov_co/IQCnp4TbeUGCSZ0iPO2mihy-AaGFI2y8L8Xd8F_E319nC0o?e=aOrSdN" xr:uid="{DC86577F-3A49-46C4-BB53-6628032B6AEE}"/>
    <hyperlink ref="AK260" r:id="rId511" display="https://gobiernobogota-my.sharepoint.com/:b:/g/personal/planeacion_suba_gobiernobogota_gov_co/IQCK8wmD755hTK75Ev01a-7pAWm4e6nkZK6c_EwvhnK7bU8?e=uPeOdE" xr:uid="{508C8AAB-BB21-4A99-B761-174CF438BB3A}"/>
    <hyperlink ref="K261" r:id="rId512" display="https://gobiernobogota-my.sharepoint.com/:b:/g/personal/planeacion_suba_gobiernobogota_gov_co/IQDGmT9Ef05VT7WCV88HsCAIAQkfEC60fMmULjZxXavYueE?e=Zm1PIG" xr:uid="{934D1885-2C81-4F38-87E9-7074E77D61FF}"/>
    <hyperlink ref="X261" r:id="rId513" display="https://gobiernobogota-my.sharepoint.com/:b:/g/personal/planeacion_suba_gobiernobogota_gov_co/IQCg8sMzg_-hSZsw0BHbPxDpATTKtFksWEJnttMGLPl_ZcI?e=3vwzvt" xr:uid="{BC2B4DA5-08DA-4951-BEB4-C8EC2D63F8CF}"/>
    <hyperlink ref="AK261" r:id="rId514" display="https://gobiernobogota-my.sharepoint.com/:b:/g/personal/planeacion_suba_gobiernobogota_gov_co/IQCfBArPfLUsQI5wHc0q52WhAXCpurppoBQey5k1CKgCz0o?e=fRfIYl" xr:uid="{81CAB0F0-1241-4B4A-88BC-CDD190425417}"/>
    <hyperlink ref="K262" r:id="rId515" display="https://gobiernobogota-my.sharepoint.com/:b:/g/personal/planeacion_suba_gobiernobogota_gov_co/IQBtOAcrTzq2SLPF3JXZfPUIAaA-m4SNRFZY7soF8sXMPLE?e=nV7Dju" xr:uid="{4AD335BD-2D74-47BF-8A14-6CFF2ABD0196}"/>
    <hyperlink ref="X262" r:id="rId516" display="https://gobiernobogota-my.sharepoint.com/:b:/g/personal/planeacion_suba_gobiernobogota_gov_co/IQAnajIu4XRgQ6imxL_NfCl3AXn9tPkn-lINqZ2Z5_CSlH4?e=FXadU4" xr:uid="{1022869E-4C4B-44B6-9374-CECA25F52295}"/>
    <hyperlink ref="AK262" r:id="rId517" display="https://gobiernobogota-my.sharepoint.com/:b:/g/personal/planeacion_suba_gobiernobogota_gov_co/IQBSNRI1EuBmQ7Ko2AIk-rTYAXGjVbyoyz52fmYkQnpZDt8?e=r5UOh8" xr:uid="{718020F5-8535-4912-B628-067C8C5AC71F}"/>
    <hyperlink ref="K263" r:id="rId518" display="https://gobiernobogota-my.sharepoint.com/:b:/g/personal/planeacion_suba_gobiernobogota_gov_co/IQDRJIJ28inIRJht8XFKhhnuAddXNG05zqPIFexOvE_Kaxc?e=wS6ODT" xr:uid="{1C3766AB-0CF7-458A-92C4-23969B265C8C}"/>
    <hyperlink ref="X263" r:id="rId519" display="https://gobiernobogota-my.sharepoint.com/:b:/g/personal/planeacion_suba_gobiernobogota_gov_co/IQD4j6z0M2mnQoGPaklwqmWaASYdoilITBQmvJcHOtYokDk?e=nkAWhk" xr:uid="{C6A81CA0-C128-4953-8935-7E80CA1719F2}"/>
    <hyperlink ref="AK263" r:id="rId520" display="https://gobiernobogota-my.sharepoint.com/:b:/g/personal/planeacion_suba_gobiernobogota_gov_co/IQCZ0-TLvOXuRoxHKpfjq4U5AXSxVB4dM7wqILDo_9tS1ck?e=D9bRGg" xr:uid="{DF5C97DE-8D0D-4271-B987-AC24B41C39DA}"/>
    <hyperlink ref="K264" r:id="rId521" display="https://gobiernobogota-my.sharepoint.com/:b:/g/personal/planeacion_suba_gobiernobogota_gov_co/IQBslQAWKLiFRIwYVqd4tCZuAST_P_JMVawPNTBhRTzpVHw?e=N3lgfs" xr:uid="{F3B5ABE0-7E6B-47A8-8F1F-51014B4375E3}"/>
    <hyperlink ref="X264" r:id="rId522" display="https://gobiernobogota-my.sharepoint.com/:b:/g/personal/planeacion_suba_gobiernobogota_gov_co/IQBg4Nh1liweQIIVQg6no0_GAfBe3xXUbHPYIwB1YJLjNiY?e=aSIA0G" xr:uid="{A6144880-01BA-49CC-B41B-2134A53FBF71}"/>
    <hyperlink ref="AK264" r:id="rId523" display="https://gobiernobogota-my.sharepoint.com/:b:/g/personal/planeacion_suba_gobiernobogota_gov_co/IQAQHCznIX2KT6n_2wptxjRwAUGsqEy6vQ4IbPwzGwZ4UEs?e=AH82aE" xr:uid="{585D2142-EB8A-4355-A255-E2724588D653}"/>
    <hyperlink ref="K265" r:id="rId524" display="https://gobiernobogota-my.sharepoint.com/:b:/g/personal/planeacion_suba_gobiernobogota_gov_co/IQBKv9ow4EApQJzUIx11mxI_AUihJOhbd4NtmyG6UYAJ0FA?e=X0lnJh" xr:uid="{2C0BC577-A371-4125-B59F-6A7B30308430}"/>
    <hyperlink ref="X265" r:id="rId525" display="https://gobiernobogota-my.sharepoint.com/:b:/g/personal/planeacion_suba_gobiernobogota_gov_co/IQAgyLqI0XfuQISEPHMot5r3AXGJzxqIO7TkqEkGREmQbVo?e=QTodiG" xr:uid="{5D1CE8F3-737A-41A0-A02B-07FF6EDD3D8A}"/>
    <hyperlink ref="AK265" r:id="rId526" display="https://gobiernobogota-my.sharepoint.com/:b:/g/personal/planeacion_suba_gobiernobogota_gov_co/IQCKDPDFGZdvTK0OsZqE5IydAXpnf-k9_NtolNe_hE8hSSg?e=4eehFb" xr:uid="{ED8BEB48-6989-4CCE-84C6-1425F4F81D0A}"/>
    <hyperlink ref="K266" r:id="rId527" display="https://gobiernobogota-my.sharepoint.com/:b:/g/personal/planeacion_suba_gobiernobogota_gov_co/IQBn2TXFVfIbRqL8KixPTKPxAcspzUk1-ShYmpsWjLKduZY?e=rd1upr" xr:uid="{9F6456BA-BE2F-444F-8AF3-6F5D39E0AA5C}"/>
    <hyperlink ref="M266" r:id="rId528" display="https://gobiernobogota-my.sharepoint.com/:b:/g/personal/planeacion_suba_gobiernobogota_gov_co/IQBn2TXFVfIbRqL8KixPTKPxAcspzUk1-ShYmpsWjLKduZY?e=rd1upr" xr:uid="{B1E7B23F-419F-4086-A825-86D8659B394A}"/>
    <hyperlink ref="X266" r:id="rId529" display="https://gobiernobogota-my.sharepoint.com/:b:/g/personal/planeacion_suba_gobiernobogota_gov_co/IQAISn7S5YNbR4ZwQSSV3RaKAV7h9uMgRI1AdpUuSfHV-Ek?e=hzitoN" xr:uid="{902AEE33-EEB0-4A10-BB66-3D50719E1001}"/>
    <hyperlink ref="AK266" r:id="rId530" display="https://gobiernobogota-my.sharepoint.com/:b:/g/personal/planeacion_suba_gobiernobogota_gov_co/IQD-w2Tm_-zsS60w0YzzfHbnAUcGP1na7s_6PMXQpuvS81w?e=tiYAbe" xr:uid="{986DD2E9-267D-4725-B7CF-2D0E0A754F4F}"/>
    <hyperlink ref="K267" r:id="rId531" display="https://gobiernobogota-my.sharepoint.com/:b:/g/personal/planeacion_suba_gobiernobogota_gov_co/IQA20HlUjZ57QYVI3CjhI_HOAR0N_hBH6khZDpTdAGpiME0?e=iSkKKS" xr:uid="{451B64D1-49D7-4980-BF2C-5DD0781E86A7}"/>
    <hyperlink ref="X267" r:id="rId532" display="https://gobiernobogota-my.sharepoint.com/:b:/g/personal/planeacion_suba_gobiernobogota_gov_co/IQD0n6JJ__NHRJO8HGGW0w3IAWVgkUxDt2F6bRCbkosi_dk?e=eMW5Qd" xr:uid="{99C54746-8A97-44DB-B21B-B58D2FA080DD}"/>
    <hyperlink ref="AK267" r:id="rId533" display="https://gobiernobogota-my.sharepoint.com/:b:/g/personal/planeacion_suba_gobiernobogota_gov_co/IQASrcQCitfYTaD0DM674sExAYZ0mp5Lm6y8w2wu6oC6X3k?e=Tgseos" xr:uid="{2F90BC9F-F084-43FF-AB0C-C4724E29D3E1}"/>
    <hyperlink ref="K268" r:id="rId534" display="https://gobiernobogota-my.sharepoint.com/:b:/g/personal/planeacion_suba_gobiernobogota_gov_co/IQBHl16NE7nOSr73BSC69EX_ATpr6YBgUjwMvuvjMaSlSlE?e=o8MqKg" xr:uid="{594CC990-1BEF-4221-AB90-FD0390208E2D}"/>
    <hyperlink ref="X268" r:id="rId535" display="https://gobiernobogota-my.sharepoint.com/:b:/g/personal/planeacion_suba_gobiernobogota_gov_co/IQCsATjEOwivSIViZ6CcvWDHAUPx6iUYEoo9hxRaDS5MJuU?e=z3yphV" xr:uid="{E02849EB-9115-42BF-8F62-280BC25D0EBA}"/>
    <hyperlink ref="AK268" r:id="rId536" display="https://gobiernobogota-my.sharepoint.com/:b:/g/personal/planeacion_suba_gobiernobogota_gov_co/IQCl0T58W37HRbdV3Nll0CQ_AeA7GHqwc57jko2q-4Z7Vbg?e=HrCUvf" xr:uid="{25B4C538-4F64-4D6D-B49D-681F0981A8DC}"/>
    <hyperlink ref="K269" r:id="rId537" display="https://gobiernobogota-my.sharepoint.com/:b:/g/personal/planeacion_suba_gobiernobogota_gov_co/IQAYhMorQvC8Tpend71d3sNSAW3wIHaLPabakKJgT5FGYqY?e=pqCQQs" xr:uid="{E3179229-8A8B-4A79-B0D7-4FAA8F521CF0}"/>
    <hyperlink ref="X269" r:id="rId538" display="https://gobiernobogota-my.sharepoint.com/:b:/g/personal/planeacion_suba_gobiernobogota_gov_co/IQBOB9H0SugxRoappfXNr4YmAYdgSxU5a7jbcUXvetoZAOc?e=bgDLdf" xr:uid="{C16B5301-0A43-4A22-90B4-9B236C6B3F54}"/>
    <hyperlink ref="AK269" r:id="rId539" display="https://gobiernobogota-my.sharepoint.com/:b:/g/personal/planeacion_suba_gobiernobogota_gov_co/IQA4NlO3XQEiQbrcE-ej6sgcAd1xtLX1wBuGIg0kjuim7DY?e=xClN4P" xr:uid="{79FFC326-18AE-46DD-A5E7-28327FB302E4}"/>
    <hyperlink ref="K270" r:id="rId540" display="https://gobiernobogota-my.sharepoint.com/:b:/g/personal/planeacion_suba_gobiernobogota_gov_co/IQDcz708oXchQKcv_VUZE5yXAf4mSBbh9afDMUy1140V8Fc?e=AOe2bg" xr:uid="{F60B2E1E-2681-49E6-86A0-607E561748BA}"/>
    <hyperlink ref="X270" r:id="rId541" display="https://gobiernobogota-my.sharepoint.com/:b:/g/personal/planeacion_suba_gobiernobogota_gov_co/IQC0j0BzvHMTSZKvVkjPNeQIAeaRr0HX6sicPIaAkE7tIyA?e=aVf7iU" xr:uid="{DCB3196C-0528-42CA-8604-52BA31535DB0}"/>
    <hyperlink ref="AK270" r:id="rId542" display="https://gobiernobogota-my.sharepoint.com/:b:/g/personal/planeacion_suba_gobiernobogota_gov_co/IQDOwrkGaTIqSpRDUMBDYVA7AaukvIV36NLECbIIVUr06zU?e=4WKAAf" xr:uid="{C65F8182-6FC5-4FA5-81EC-721F007D2477}"/>
    <hyperlink ref="K271" r:id="rId543" display="https://gobiernobogota-my.sharepoint.com/:b:/g/personal/planeacion_suba_gobiernobogota_gov_co/IQDJKdWv_m8_Ra81MW3tzYxBAS8cb2Cu3uaoOowMrfN3sDE?e=LcQ68f" xr:uid="{311DAD76-ED69-4428-AD4C-C60C37D1F9B1}"/>
    <hyperlink ref="X271" r:id="rId544" display="https://gobiernobogota-my.sharepoint.com/:b:/g/personal/planeacion_suba_gobiernobogota_gov_co/IQAQUVz7wPdLTqPLB_LQ0gjJAbpVs4__-AZPMiWt12b0LT0?e=Iij9Lb" xr:uid="{3DCD1BB6-63BD-4F72-BBF3-A78AFC27336A}"/>
    <hyperlink ref="AK271" r:id="rId545" display="https://gobiernobogota-my.sharepoint.com/:b:/g/personal/planeacion_suba_gobiernobogota_gov_co/IQD-sRFXb627SqvhU2CAy-oTASyE9NgIPj3bD9UDgGT76I0?e=htfbUA" xr:uid="{88E66102-24E1-4A32-A7BC-444AC398F7A6}"/>
    <hyperlink ref="K272" r:id="rId546" display="https://gobiernobogota-my.sharepoint.com/:b:/g/personal/planeacion_suba_gobiernobogota_gov_co/IQAPP7KxvGWWR5yuP8gCWT76Ab9PfWrg9IWjoW3B8Iiszok?e=rNzI5V" xr:uid="{B0975166-D022-4390-B46A-5D2E2D009912}"/>
    <hyperlink ref="X272" r:id="rId547" display="https://gobiernobogota-my.sharepoint.com/:b:/g/personal/planeacion_suba_gobiernobogota_gov_co/IQCXQmhj1pvOQJR6Fy6cAiigAQmQv80t2vS9-TTkM0lObDI?e=V75HOz" xr:uid="{60E08030-6CDF-4478-AC8E-F5758E673716}"/>
    <hyperlink ref="AK272" r:id="rId548" display="https://gobiernobogota-my.sharepoint.com/:b:/g/personal/planeacion_suba_gobiernobogota_gov_co/IQCE1IYVz0lgTpXobLf5_hbDAUKoVIn2ukCMD4f7_QTOQHQ?e=5EqTuQ" xr:uid="{5A876627-07C1-4A7D-8133-C235F2861A0D}"/>
    <hyperlink ref="K273" r:id="rId549" display="https://gobiernobogota-my.sharepoint.com/:b:/g/personal/planeacion_suba_gobiernobogota_gov_co/IQA1eniFzospSLQK7D92tITjAZS359IapFQNwlRKo6RERHo?e=HH8s4o" xr:uid="{6EC2981F-85C3-4D88-A1A6-E693D7AC5F7D}"/>
    <hyperlink ref="X273" r:id="rId550" display="https://gobiernobogota-my.sharepoint.com/:b:/g/personal/planeacion_suba_gobiernobogota_gov_co/IQCx8-i5yne_QbEYTnS36FG4AWutfXy6THx9o-j8mSgsbuY?e=xleLJf" xr:uid="{58529F44-9779-4449-AE10-E0C695802AF4}"/>
    <hyperlink ref="AK273" r:id="rId551" display="https://gobiernobogota-my.sharepoint.com/:b:/g/personal/planeacion_suba_gobiernobogota_gov_co/IQBgQ_4-aTG4Rp84iKlag56FAZmXtEfF5rAnMaYmzBG4ASM?e=0zMs8u" xr:uid="{C007B7F0-61D5-48FE-9788-C4C8F59D5466}"/>
    <hyperlink ref="K274" r:id="rId552" display="https://gobiernobogota-my.sharepoint.com/:b:/g/personal/planeacion_suba_gobiernobogota_gov_co/IQCXIYOhQokARIGrzDbo5eA5AcGo9UDCGTZHc4XWTx6CEJU?e=quy4cn" xr:uid="{05EE3DE1-AEB8-466B-A797-74AB8113128F}"/>
    <hyperlink ref="X274" r:id="rId553" display="https://gobiernobogota-my.sharepoint.com/:b:/g/personal/planeacion_suba_gobiernobogota_gov_co/IQA4Se_4B3shT634s1Z9asL-Afq0fvBnZ02_aQX9GQj4sIg?e=14PGKC" xr:uid="{912B39C4-EB14-434D-998C-BD8DC58A2BCA}"/>
    <hyperlink ref="AK274" r:id="rId554" display="https://gobiernobogota-my.sharepoint.com/:b:/g/personal/planeacion_suba_gobiernobogota_gov_co/IQAwnmdr7F2XT6Urb-INfRdcAaQ-EClG9VLA7394Cpfv02w?e=vWzPG2" xr:uid="{9BE98E50-6CF7-4584-9C5A-EBE3450E3CB8}"/>
    <hyperlink ref="K275" r:id="rId555" display="https://gobiernobogota-my.sharepoint.com/:b:/g/personal/planeacion_suba_gobiernobogota_gov_co/IQDoevANHG4NTZZYJHAdZ50-Abzt9BrhsP7pzNN3dgjI0kc?e=2gJBGQ" xr:uid="{B2D82C52-FF3E-4B54-8F2D-444424ED57B7}"/>
    <hyperlink ref="X275" r:id="rId556" display="https://gobiernobogota-my.sharepoint.com/:b:/g/personal/planeacion_suba_gobiernobogota_gov_co/IQCZoljksrBcQ6yRT6DhU6MXAeFk64AER36rGy_MMIYx9ss?e=dgN5ke" xr:uid="{DEE47362-6604-44D3-906C-6CA81630762D}"/>
    <hyperlink ref="AK275" r:id="rId557" display="https://gobiernobogota-my.sharepoint.com/:b:/g/personal/planeacion_suba_gobiernobogota_gov_co/IQAFQdkQS4-vT6W963Ct5yWdATsL35e3ruHBUsvSrh5F2fA?e=jEQdRh" xr:uid="{52D0232D-D733-4AE8-920C-D08CFED1EF2B}"/>
    <hyperlink ref="K276" r:id="rId558" display="https://gobiernobogota-my.sharepoint.com/:b:/g/personal/planeacion_suba_gobiernobogota_gov_co/IQB-knfmaKYvSqhBedh06GzOAdlvqAxLVD8Q85LVGQoiRPo?e=yEhaRa" xr:uid="{D927A8E9-5C68-451D-AF21-D966BEBCF4B8}"/>
    <hyperlink ref="X276" r:id="rId559" display="https://gobiernobogota-my.sharepoint.com/:b:/g/personal/planeacion_suba_gobiernobogota_gov_co/IQClIKjP1PWkTJhzxsjesVqQAYMatfDb8_yRME18bXzKzw0?e=4TRNwI" xr:uid="{F4B054F1-9F31-48BC-9341-14DEBDF950CF}"/>
    <hyperlink ref="AK276" r:id="rId560" display="https://gobiernobogota-my.sharepoint.com/:b:/g/personal/planeacion_suba_gobiernobogota_gov_co/IQAkwNBPjfQZQZZM1Xd0CC6wAV11pULje70mqS6HhNo_m4U?e=3zOmKt" xr:uid="{02E4CE78-0F03-4302-8544-2401E1BCD024}"/>
    <hyperlink ref="K277" r:id="rId561" display="https://gobiernobogota-my.sharepoint.com/:b:/g/personal/planeacion_suba_gobiernobogota_gov_co/IQAzLsCKXgd_QJfhPijUwyw8AV6o8F8IbOe6cybBnR-8zbg?e=uzg30L" xr:uid="{8D7CCA71-6A55-41C0-BD12-AA9BBC6E1F51}"/>
    <hyperlink ref="X277" r:id="rId562" display="https://gobiernobogota-my.sharepoint.com/:b:/g/personal/planeacion_suba_gobiernobogota_gov_co/IQD_pKImNgeAQLA03yOnMfwlAV_90zEPKhlUmLE7DYg6vbc?e=hTfaVH" xr:uid="{F7F08E2D-BA65-42A0-BAE3-0AB92A5657B2}"/>
    <hyperlink ref="AK277" r:id="rId563" display="https://gobiernobogota-my.sharepoint.com/:b:/g/personal/planeacion_suba_gobiernobogota_gov_co/IQDxRQf0MaraRLAI6SeurFWyAUB1VkcrT29Z4ES23OTsQ4o?e=gQcuq7" xr:uid="{430AE413-B49A-4F98-B24F-2B6FE81E7602}"/>
    <hyperlink ref="K278" r:id="rId564" display="https://gobiernobogota-my.sharepoint.com/:b:/g/personal/planeacion_suba_gobiernobogota_gov_co/IQDaKzb140QMQbpu1mEM190hAWrqfSQ-_bxn1W9gecMeJSA?e=As9Puq" xr:uid="{C2824806-3575-4E2C-B8BF-8D6370407837}"/>
    <hyperlink ref="X278" r:id="rId565" display="https://gobiernobogota-my.sharepoint.com/:b:/g/personal/planeacion_suba_gobiernobogota_gov_co/IQAtaVD6bj3FRZhHeA3-e_FZAYs7eB3dkoQJIRG9ziohkWs?e=EP6yB6" xr:uid="{DD955357-CE86-4E8E-A34A-18F8E40AC78C}"/>
    <hyperlink ref="AK278" r:id="rId566" display="https://gobiernobogota-my.sharepoint.com/:b:/g/personal/planeacion_suba_gobiernobogota_gov_co/IQDWtC2F9n6uSJ02T0JSNi2FAXASCjdUaPzutEVQywt_3nM?e=qCWQzQ" xr:uid="{B25D9F89-2E38-4320-A33D-079C2F1833D5}"/>
    <hyperlink ref="K279" r:id="rId567" display="https://gobiernobogota-my.sharepoint.com/:b:/g/personal/planeacion_suba_gobiernobogota_gov_co/IQCs4xYQu87LRbzwjeTC71ANAYDSBkqN_Nge1JnILdORuyI?e=isCmvg" xr:uid="{0B3E8786-F573-4452-AC5F-BF2EC2B604AC}"/>
    <hyperlink ref="X279" r:id="rId568" display="https://gobiernobogota-my.sharepoint.com/:b:/g/personal/planeacion_suba_gobiernobogota_gov_co/IQDu7C85jjPeRZL7sdNl3FWwAauENOtZ8sW3GXEBij1jsCA?e=rOicqn" xr:uid="{D9DC5921-3BEF-4CAE-977A-824A11ECCD48}"/>
    <hyperlink ref="AK279" r:id="rId569" display="https://gobiernobogota-my.sharepoint.com/:b:/g/personal/planeacion_suba_gobiernobogota_gov_co/IQBJg4Z89B_1TLFef-8UQR7uAeYroD0BsmZBMleZ58uJojE?e=Lm3MKY" xr:uid="{16637A13-8174-46B6-BBA2-A36F2F55C693}"/>
    <hyperlink ref="K280" r:id="rId570" display="https://gobiernobogota-my.sharepoint.com/:b:/g/personal/planeacion_suba_gobiernobogota_gov_co/IQA0dS4MpmAHTIPPLZozFv5_AaVbN0mKaCjK2TIH3rPTe3c?e=kNSkDJ" xr:uid="{A8795406-ECE9-4EEA-B599-C60FE0FEFFFB}"/>
    <hyperlink ref="X280" r:id="rId571" display="https://gobiernobogota-my.sharepoint.com/:b:/g/personal/planeacion_suba_gobiernobogota_gov_co/IQBSEARZMMxMSo5qdJc5AVkiAbYtNGlbpm5VkvBx2qWahdw?e=49ejSn" xr:uid="{F574F3B4-FBF3-4776-9DCD-87AD9628ACD5}"/>
    <hyperlink ref="AK280" r:id="rId572" display="https://gobiernobogota-my.sharepoint.com/:b:/g/personal/planeacion_suba_gobiernobogota_gov_co/IQCaZUPnFa__R54BHSEQJguWAXfMuFJwvd3XGXYHhhJih5o?e=10ps7h" xr:uid="{A4ECD3F5-6A55-4BA7-AD37-FCD5D7277762}"/>
    <hyperlink ref="K281" r:id="rId573" display="https://gobiernobogota-my.sharepoint.com/:b:/g/personal/planeacion_suba_gobiernobogota_gov_co/IQDpltpLUvkLRZ-O_KRZFtAbAY6SmFZ_SZij4Kpokt_43iE?e=i45t6V" xr:uid="{E2F36C57-0DCC-466A-B32F-0BF8D1A4DBE3}"/>
    <hyperlink ref="X281" r:id="rId574" display="https://gobiernobogota-my.sharepoint.com/:b:/g/personal/planeacion_suba_gobiernobogota_gov_co/IQDo4dlyXDo9R5O0ZZfujmyxASTz6GJtTDauWWMk0jgJLDg?e=Yp5dcz" xr:uid="{C446A881-C0F9-4A2B-91A8-736DC763A606}"/>
    <hyperlink ref="AK281" r:id="rId575" display="https://gobiernobogota-my.sharepoint.com/:b:/g/personal/planeacion_suba_gobiernobogota_gov_co/IQCcKXNGqms4Ra967UrgwNTFAX6C63En3n2bYJUjlAPj1JI?e=YRkqOW" xr:uid="{47CF8812-5554-4D2A-8A6C-06080B6FAE7B}"/>
    <hyperlink ref="K282" r:id="rId576" display="https://gobiernobogota-my.sharepoint.com/:b:/g/personal/planeacion_suba_gobiernobogota_gov_co/IQCbT34E176zQKdoEDOLYZQmAakLLyLw-wwEuNmfinjJQH8?e=w00Dn6" xr:uid="{3087E87E-9231-4896-99DF-190C6D6A99A2}"/>
    <hyperlink ref="X282" r:id="rId577" display="https://gobiernobogota-my.sharepoint.com/:b:/g/personal/planeacion_suba_gobiernobogota_gov_co/IQBqe1I2zgoQR5Z1yIKIm_dsAQvFCvJJKQj9B9MURN_wg08?e=0aVK6m" xr:uid="{DBF905F8-0859-417F-9C42-C8EC50D48C1E}"/>
    <hyperlink ref="AK282" r:id="rId578" display="https://gobiernobogota-my.sharepoint.com/:b:/g/personal/planeacion_suba_gobiernobogota_gov_co/IQCj4Dr4Y9yvQoLss5cmU0VvAR7GOPr54LZwPq5e3wbLRRE?e=6f1cO0" xr:uid="{618465E1-E03E-46F9-A553-F234CE6136A0}"/>
  </hyperlinks>
  <pageMargins left="0.7" right="0.7" top="0.75" bottom="0.75" header="0.3" footer="0.3"/>
  <pageSetup orientation="portrait" r:id="rId579"/>
  <drawing r:id="rId58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CR117"/>
  <sheetViews>
    <sheetView view="pageBreakPreview" topLeftCell="A101" zoomScale="40" zoomScaleNormal="40" zoomScaleSheetLayoutView="40" workbookViewId="0">
      <selection activeCell="AB4" sqref="AB4"/>
    </sheetView>
  </sheetViews>
  <sheetFormatPr defaultColWidth="11.42578125" defaultRowHeight="15" customHeight="1"/>
  <cols>
    <col min="1" max="1" width="17.140625" style="3" customWidth="1"/>
    <col min="2" max="2" width="32.42578125" style="3" customWidth="1"/>
    <col min="3" max="3" width="52.42578125" style="3" customWidth="1"/>
    <col min="4" max="4" width="166.140625" style="3" customWidth="1"/>
    <col min="5" max="7" width="28.42578125" style="3" customWidth="1"/>
    <col min="8" max="8" width="31.42578125" style="3" customWidth="1"/>
    <col min="9" max="9" width="35.140625" style="3" customWidth="1"/>
    <col min="10" max="10" width="45.42578125" style="3" customWidth="1"/>
    <col min="11"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9" style="3" customWidth="1"/>
    <col min="27" max="27" width="35.85546875" style="3" customWidth="1"/>
    <col min="28" max="28" width="58" style="3" customWidth="1"/>
    <col min="29" max="29" width="24.42578125" style="3" customWidth="1"/>
    <col min="30" max="30" width="88.140625" style="3" customWidth="1"/>
    <col min="31" max="31" width="35.28515625" style="3"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28" t="s">
        <v>1312</v>
      </c>
      <c r="B3" s="428"/>
      <c r="C3" s="428"/>
      <c r="D3" s="428"/>
      <c r="E3" s="428"/>
      <c r="F3" s="428"/>
      <c r="G3" s="428"/>
      <c r="H3" s="428"/>
      <c r="I3" s="428"/>
      <c r="J3" s="428"/>
      <c r="K3" s="428"/>
      <c r="L3" s="428"/>
      <c r="M3" s="428"/>
      <c r="N3" s="439" t="s">
        <v>8</v>
      </c>
      <c r="O3" s="439"/>
      <c r="P3" s="439"/>
      <c r="Q3" s="439"/>
      <c r="R3" s="439"/>
      <c r="S3" s="439"/>
      <c r="T3" s="439"/>
      <c r="U3" s="439"/>
      <c r="V3" s="439"/>
      <c r="W3" s="439"/>
      <c r="X3" s="33"/>
      <c r="Y3" s="33"/>
      <c r="Z3" s="33"/>
      <c r="AA3" s="33"/>
      <c r="AB3" s="33"/>
      <c r="AC3" s="33"/>
      <c r="AD3" s="361"/>
    </row>
    <row r="4" spans="1:96" s="2" customFormat="1" ht="93.75">
      <c r="A4" s="429"/>
      <c r="B4" s="429"/>
      <c r="C4" s="45" t="s">
        <v>14</v>
      </c>
      <c r="D4" s="440" t="s">
        <v>1313</v>
      </c>
      <c r="E4" s="440"/>
      <c r="F4" s="440"/>
      <c r="G4" s="440"/>
      <c r="H4" s="440"/>
      <c r="I4" s="440"/>
      <c r="J4" s="440"/>
      <c r="K4" s="440"/>
      <c r="L4" s="441"/>
      <c r="M4" s="282"/>
      <c r="N4" s="439"/>
      <c r="O4" s="439"/>
      <c r="P4" s="439"/>
      <c r="Q4" s="439"/>
      <c r="R4" s="439"/>
      <c r="S4" s="439"/>
      <c r="T4" s="439"/>
      <c r="U4" s="439"/>
      <c r="V4" s="439"/>
      <c r="W4" s="439"/>
      <c r="Z4" s="432" t="s">
        <v>1314</v>
      </c>
      <c r="AA4" s="432"/>
      <c r="AB4" s="73">
        <f>SUM(AA10:AA88)</f>
        <v>1945647793</v>
      </c>
      <c r="AC4" s="38"/>
    </row>
    <row r="5" spans="1:96" s="2" customFormat="1" ht="93.75">
      <c r="A5" s="429"/>
      <c r="B5" s="429"/>
      <c r="C5" s="45" t="s">
        <v>10</v>
      </c>
      <c r="D5" s="431" t="s">
        <v>106</v>
      </c>
      <c r="E5" s="431"/>
      <c r="F5" s="431"/>
      <c r="G5" s="431"/>
      <c r="H5" s="431"/>
      <c r="I5" s="431"/>
      <c r="J5" s="431"/>
      <c r="K5" s="431"/>
      <c r="L5" s="431"/>
      <c r="M5" s="431"/>
      <c r="N5" s="439"/>
      <c r="O5" s="439"/>
      <c r="P5" s="439"/>
      <c r="Q5" s="439"/>
      <c r="R5" s="439"/>
      <c r="S5" s="439"/>
      <c r="T5" s="439"/>
      <c r="U5" s="439"/>
      <c r="V5" s="439"/>
      <c r="W5" s="439"/>
      <c r="Z5" s="432" t="s">
        <v>1315</v>
      </c>
      <c r="AA5" s="432"/>
      <c r="AB5" s="73">
        <f>SUM(J93:J115)</f>
        <v>948352207</v>
      </c>
      <c r="AC5" s="38"/>
      <c r="AD5" s="359" t="s">
        <v>1316</v>
      </c>
      <c r="AE5" s="360">
        <v>2894000000</v>
      </c>
    </row>
    <row r="6" spans="1:96" s="2" customFormat="1" ht="47.45" customHeight="1">
      <c r="A6" s="429"/>
      <c r="B6" s="429"/>
      <c r="C6" s="362" t="s">
        <v>11</v>
      </c>
      <c r="D6" s="363" t="s">
        <v>1317</v>
      </c>
      <c r="E6" s="82" t="s">
        <v>12</v>
      </c>
      <c r="F6" s="430"/>
      <c r="G6" s="430"/>
      <c r="H6" s="430"/>
      <c r="I6" s="430"/>
      <c r="J6" s="430"/>
      <c r="K6" s="430"/>
      <c r="L6" s="430"/>
      <c r="M6" s="430"/>
      <c r="N6" s="439"/>
      <c r="O6" s="439"/>
      <c r="P6" s="439"/>
      <c r="Q6" s="439"/>
      <c r="R6" s="439"/>
      <c r="S6" s="439"/>
      <c r="T6" s="439"/>
      <c r="U6" s="439"/>
      <c r="V6" s="439"/>
      <c r="W6" s="439"/>
      <c r="Z6" s="432" t="s">
        <v>1318</v>
      </c>
      <c r="AA6" s="432"/>
      <c r="AB6" s="74">
        <f>SUM(AB4+AB5)</f>
        <v>2894000000</v>
      </c>
      <c r="AD6" s="78"/>
      <c r="AE6" s="79"/>
      <c r="CA6">
        <v>1</v>
      </c>
      <c r="CB6">
        <v>2</v>
      </c>
      <c r="CC6">
        <v>10</v>
      </c>
      <c r="CD6">
        <v>14</v>
      </c>
      <c r="CE6">
        <v>23</v>
      </c>
      <c r="CF6">
        <v>29</v>
      </c>
      <c r="CG6">
        <v>36</v>
      </c>
      <c r="CH6">
        <v>40</v>
      </c>
      <c r="CI6"/>
      <c r="CJ6">
        <v>48</v>
      </c>
    </row>
    <row r="7" spans="1:96" ht="18.75">
      <c r="A7" s="4"/>
      <c r="C7" s="364" t="s">
        <v>1319</v>
      </c>
      <c r="D7" s="364" t="s">
        <v>1320</v>
      </c>
      <c r="J7" s="16"/>
      <c r="K7" s="16"/>
      <c r="L7" s="16"/>
      <c r="M7" s="16"/>
      <c r="P7" s="16"/>
      <c r="Q7" s="16"/>
      <c r="R7" s="16"/>
      <c r="S7" s="16"/>
      <c r="V7" s="16"/>
      <c r="W7" s="16"/>
      <c r="X7" s="16"/>
      <c r="Y7" s="16"/>
      <c r="Z7" s="16"/>
    </row>
    <row r="8" spans="1:96" s="18" customFormat="1" ht="24">
      <c r="H8" s="442" t="s">
        <v>16</v>
      </c>
      <c r="I8" s="443"/>
      <c r="J8" s="443"/>
      <c r="K8" s="443"/>
      <c r="L8" s="443"/>
      <c r="M8" s="444"/>
      <c r="N8" s="433" t="s">
        <v>17</v>
      </c>
      <c r="O8" s="434"/>
      <c r="P8" s="434"/>
      <c r="Q8" s="434"/>
      <c r="R8" s="434"/>
      <c r="S8" s="435"/>
      <c r="T8" s="436" t="s">
        <v>18</v>
      </c>
      <c r="U8" s="437"/>
      <c r="V8" s="437"/>
      <c r="W8" s="437"/>
      <c r="X8" s="437"/>
      <c r="Y8" s="438"/>
      <c r="Z8" s="426" t="s">
        <v>20</v>
      </c>
      <c r="AA8" s="427"/>
      <c r="AB8" s="427"/>
      <c r="AC8" s="427"/>
      <c r="CA8" s="18" t="s">
        <v>1321</v>
      </c>
      <c r="CJ8" s="18" t="s">
        <v>1322</v>
      </c>
    </row>
    <row r="9" spans="1:96" s="90" customFormat="1" ht="103.15" customHeight="1">
      <c r="A9" s="91" t="s">
        <v>22</v>
      </c>
      <c r="B9" s="91" t="s">
        <v>23</v>
      </c>
      <c r="C9" s="91" t="s">
        <v>1323</v>
      </c>
      <c r="D9" s="91" t="s">
        <v>25</v>
      </c>
      <c r="E9" s="91" t="s">
        <v>26</v>
      </c>
      <c r="F9" s="91" t="s">
        <v>27</v>
      </c>
      <c r="G9" s="91" t="s">
        <v>160</v>
      </c>
      <c r="H9" s="92" t="s">
        <v>28</v>
      </c>
      <c r="I9" s="92" t="s">
        <v>29</v>
      </c>
      <c r="J9" s="92" t="s">
        <v>1324</v>
      </c>
      <c r="K9" s="92" t="s">
        <v>31</v>
      </c>
      <c r="L9" s="92" t="s">
        <v>32</v>
      </c>
      <c r="M9" s="92" t="s">
        <v>33</v>
      </c>
      <c r="N9" s="91" t="s">
        <v>34</v>
      </c>
      <c r="O9" s="91" t="s">
        <v>29</v>
      </c>
      <c r="P9" s="91" t="s">
        <v>1325</v>
      </c>
      <c r="Q9" s="91" t="s">
        <v>31</v>
      </c>
      <c r="R9" s="91" t="s">
        <v>32</v>
      </c>
      <c r="S9" s="91" t="s">
        <v>33</v>
      </c>
      <c r="T9" s="93" t="s">
        <v>35</v>
      </c>
      <c r="U9" s="93" t="s">
        <v>29</v>
      </c>
      <c r="V9" s="93" t="s">
        <v>30</v>
      </c>
      <c r="W9" s="93" t="s">
        <v>31</v>
      </c>
      <c r="X9" s="93" t="s">
        <v>32</v>
      </c>
      <c r="Y9" s="93" t="s">
        <v>33</v>
      </c>
      <c r="Z9" s="92" t="s">
        <v>37</v>
      </c>
      <c r="AA9" s="92" t="s">
        <v>38</v>
      </c>
      <c r="AB9" s="92" t="s">
        <v>39</v>
      </c>
      <c r="AC9" s="92" t="s">
        <v>40</v>
      </c>
      <c r="AD9" s="94" t="s">
        <v>45</v>
      </c>
      <c r="CA9" s="90" t="s">
        <v>1326</v>
      </c>
      <c r="CB9" s="90" t="s">
        <v>1327</v>
      </c>
      <c r="CC9" s="90" t="s">
        <v>1328</v>
      </c>
      <c r="CD9" s="90" t="s">
        <v>1329</v>
      </c>
      <c r="CE9" s="90" t="s">
        <v>1330</v>
      </c>
      <c r="CF9" s="90" t="s">
        <v>1331</v>
      </c>
      <c r="CG9" s="90" t="s">
        <v>1332</v>
      </c>
      <c r="CH9" s="90" t="s">
        <v>1333</v>
      </c>
      <c r="CI9" s="90" t="s">
        <v>1334</v>
      </c>
      <c r="CJ9" s="90" t="s">
        <v>1326</v>
      </c>
      <c r="CK9" s="90" t="s">
        <v>1327</v>
      </c>
      <c r="CL9" s="90" t="s">
        <v>1328</v>
      </c>
      <c r="CM9" s="90" t="s">
        <v>1329</v>
      </c>
      <c r="CN9" s="90" t="s">
        <v>1330</v>
      </c>
      <c r="CO9" s="90" t="s">
        <v>1331</v>
      </c>
      <c r="CP9" s="90" t="s">
        <v>1332</v>
      </c>
      <c r="CQ9" s="90" t="s">
        <v>1333</v>
      </c>
      <c r="CR9" s="90" t="s">
        <v>1334</v>
      </c>
    </row>
    <row r="10" spans="1:96" s="7" customFormat="1" ht="81" customHeight="1">
      <c r="A10" s="75">
        <f t="shared" ref="A10" si="0">IF(B10&lt;&gt;"",BG10,"")</f>
        <v>1</v>
      </c>
      <c r="B10" s="200" t="s">
        <v>1335</v>
      </c>
      <c r="C10" s="201" t="s">
        <v>1076</v>
      </c>
      <c r="D10" s="201" t="s">
        <v>1077</v>
      </c>
      <c r="E10" s="202" t="s">
        <v>1078</v>
      </c>
      <c r="F10" s="203">
        <v>10</v>
      </c>
      <c r="G10" s="201" t="s">
        <v>186</v>
      </c>
      <c r="H10" s="80" t="str">
        <f>IF(C10="","",VLOOKUP(C10,listaBolsa!$D$2:$W$1118,10,0))</f>
        <v>FULL COLOR</v>
      </c>
      <c r="I10" s="96">
        <f>IF(C10="","",VLOOKUP(C10,listaBolsa!$D$2:$W$1118,14,0))</f>
        <v>92436.97478991597</v>
      </c>
      <c r="J10" s="97">
        <f t="shared" ref="J10" si="1">I10*19%</f>
        <v>17563.025210084033</v>
      </c>
      <c r="K10" s="97">
        <f t="shared" ref="K10" si="2">I10+J10</f>
        <v>110000</v>
      </c>
      <c r="L10" s="97">
        <f t="shared" ref="L10" si="3">IF(B10="","",(I10*F10))</f>
        <v>924369.74789915967</v>
      </c>
      <c r="M10" s="97">
        <f t="shared" ref="M10" si="4">IF(B10="","",(K10*F10))</f>
        <v>1100000</v>
      </c>
      <c r="N10" s="81" t="str">
        <f>IF(C10="","",VLOOKUP(C10,listaBolsa!$D$2:$AZ$1276,23,0))</f>
        <v>INVENTIVA</v>
      </c>
      <c r="O10" s="98">
        <f>IF(C10="","",VLOOKUP(C10,listaBolsa!$D$2:$AZ$1276,27,0))</f>
        <v>120000</v>
      </c>
      <c r="P10" s="99">
        <f t="shared" ref="P10" si="5">O10*19%</f>
        <v>22800</v>
      </c>
      <c r="Q10" s="99">
        <f t="shared" ref="Q10" si="6">O10+P10</f>
        <v>142800</v>
      </c>
      <c r="R10" s="99">
        <f t="shared" ref="R10" si="7">IF(B10="","",(O10*F10))</f>
        <v>1200000</v>
      </c>
      <c r="S10" s="99">
        <f t="shared" ref="S10" si="8">IF(B10="","",(Q10*F10))</f>
        <v>1428000</v>
      </c>
      <c r="T10" s="76" t="str">
        <f>IF(C10="","",VLOOKUP(C10,listaBolsa!$D$2:$BB$1276,36,0))</f>
        <v>MARIA CONFLICTO</v>
      </c>
      <c r="U10" s="100">
        <f>IF(C10="","",VLOOKUP(C10,listaBolsa!$D$2:$BB$1276,40,0))</f>
        <v>120000</v>
      </c>
      <c r="V10" s="101">
        <f t="shared" ref="V10:V14" si="9">U10*19%</f>
        <v>22800</v>
      </c>
      <c r="W10" s="101">
        <f t="shared" ref="W10:W14" si="10">U10+V10</f>
        <v>142800</v>
      </c>
      <c r="X10" s="101">
        <f t="shared" ref="X10:X14" si="11">IF(B10="","",(U10*F10))</f>
        <v>1200000</v>
      </c>
      <c r="Y10" s="101">
        <f t="shared" ref="Y10:Y14" si="12">IF(B10="","",(W10*F10))</f>
        <v>1428000</v>
      </c>
      <c r="Z10" s="102">
        <f t="shared" ref="Z10:Z14" si="13">IF(A10="","",ROUND(AVERAGE(K10,Q10,W10),0))</f>
        <v>131867</v>
      </c>
      <c r="AA10" s="102">
        <f t="shared" ref="AA10:AA14" si="14">IF(B10="","",Z10*F10)</f>
        <v>1318670</v>
      </c>
      <c r="AB10" s="103">
        <f t="shared" ref="AB10:AB14" si="15">IF(B10="","",ROUND(STDEV(M10,S10,Y10),0))</f>
        <v>189371</v>
      </c>
      <c r="AC10" s="77">
        <f t="shared" ref="AC10:AC14" si="16">IF(B10="","",(AB10/AA10))</f>
        <v>0.14360757429834606</v>
      </c>
      <c r="AD10" s="5"/>
      <c r="AF10" s="7" t="str">
        <f>IF(C10="","",VLOOKUP(C10,listaBolsa!$D$2:$BB$276,51,0))</f>
        <v>Tercer ítem sin IVA</v>
      </c>
      <c r="BG10" s="7">
        <v>1</v>
      </c>
      <c r="CA10" s="7" t="str">
        <f>VLOOKUP(C10,listaBolsa!$D$2:$BA$1248,1,0)</f>
        <v>Volantes media carta 100 Unidades</v>
      </c>
      <c r="CB10" s="7" t="str">
        <f>VLOOKUP(C10,listaBolsa!$D$2:$BA$1248,2,0)</f>
        <v>Tamaño: media carta, tintas: 4 x 4, full color policromía en propalcote 115 gr, refilados y/o materiales similares, con diseño aprobado por la oficina de prensa del FDLS</v>
      </c>
      <c r="CC10" s="7" t="str">
        <f>VLOOKUP(C10,listaBolsa!$D$2:$BA$1248,10,0)</f>
        <v>FULL COLOR</v>
      </c>
      <c r="CD10" s="7">
        <f>VLOOKUP(C10,listaBolsa!$D$2:$BA$1248,14,0)</f>
        <v>92436.97478991597</v>
      </c>
      <c r="CE10" s="7" t="str">
        <f>VLOOKUP(C10,listaBolsa!$D$2:$BA$1248,23,0)</f>
        <v>INVENTIVA</v>
      </c>
      <c r="CF10" s="7">
        <f>VLOOKUP(C10,listaBolsa!$D$2:$BA$1248,29,0)</f>
        <v>142800</v>
      </c>
      <c r="CG10" s="7" t="str">
        <f>VLOOKUP(C10,listaBolsa!$D$2:$BA$1248,36,0)</f>
        <v>MARIA CONFLICTO</v>
      </c>
      <c r="CH10" s="7">
        <f>VLOOKUP(C10,listaBolsa!$D$2:$BA$1248,40,0)</f>
        <v>120000</v>
      </c>
      <c r="CI10" s="7">
        <f>VLOOKUP(C10,listaBolsa!$D$2:$BA$1248,48,0)</f>
        <v>0.13528217467227824</v>
      </c>
      <c r="CJ10" s="7" t="b">
        <f t="shared" ref="CJ10:CK34" si="17">CA10=C10</f>
        <v>1</v>
      </c>
      <c r="CK10" s="7" t="b">
        <f t="shared" ref="CK10:CK34" si="18">CB10=D10</f>
        <v>1</v>
      </c>
      <c r="CL10" s="7" t="b">
        <f t="shared" ref="CL10:CM34" si="19">CC10=H10</f>
        <v>1</v>
      </c>
      <c r="CM10" s="7" t="b">
        <f t="shared" ref="CM10:CM34" si="20">CD10=I10</f>
        <v>1</v>
      </c>
      <c r="CN10" s="7" t="b">
        <f t="shared" ref="CN10:CO34" si="21">CE10=N10</f>
        <v>1</v>
      </c>
      <c r="CO10" s="7" t="b">
        <f t="shared" ref="CO10:CO34" si="22">CF10=O10</f>
        <v>0</v>
      </c>
      <c r="CP10" s="7" t="b">
        <f t="shared" ref="CP10:CQ34" si="23">CG10=T10</f>
        <v>1</v>
      </c>
      <c r="CQ10" s="7" t="b">
        <f t="shared" ref="CQ10:CQ34" si="24">CH10=U10</f>
        <v>1</v>
      </c>
      <c r="CR10" s="7" t="b">
        <f t="shared" ref="CR10:CR34" si="25">CI10=AC10</f>
        <v>0</v>
      </c>
    </row>
    <row r="11" spans="1:96" s="7" customFormat="1" ht="24">
      <c r="A11" s="220">
        <v>2</v>
      </c>
      <c r="B11" s="221" t="s">
        <v>1335</v>
      </c>
      <c r="C11" s="222" t="s">
        <v>1336</v>
      </c>
      <c r="D11" s="223" t="s">
        <v>1337</v>
      </c>
      <c r="E11" s="221" t="s">
        <v>1338</v>
      </c>
      <c r="F11" s="224">
        <v>1</v>
      </c>
      <c r="G11" s="224" t="s">
        <v>186</v>
      </c>
      <c r="H11" s="225" t="s">
        <v>1339</v>
      </c>
      <c r="I11" s="226">
        <v>10840.34</v>
      </c>
      <c r="J11" s="226">
        <v>2059.6646000000001</v>
      </c>
      <c r="K11" s="226">
        <v>12900.0046</v>
      </c>
      <c r="L11" s="226">
        <v>10840</v>
      </c>
      <c r="M11" s="226">
        <v>12900</v>
      </c>
      <c r="N11" s="227" t="s">
        <v>1340</v>
      </c>
      <c r="O11" s="228">
        <v>12605.04</v>
      </c>
      <c r="P11" s="228">
        <v>2394.9576000000002</v>
      </c>
      <c r="Q11" s="228">
        <v>14999.997600000001</v>
      </c>
      <c r="R11" s="228">
        <v>12605</v>
      </c>
      <c r="S11" s="228">
        <v>15000</v>
      </c>
      <c r="T11" s="229" t="s">
        <v>1341</v>
      </c>
      <c r="U11" s="230">
        <v>8403.36</v>
      </c>
      <c r="V11" s="230">
        <v>1596.6384</v>
      </c>
      <c r="W11" s="230">
        <v>9999.9984000000004</v>
      </c>
      <c r="X11" s="230">
        <v>8403</v>
      </c>
      <c r="Y11" s="230">
        <v>10000</v>
      </c>
      <c r="Z11" s="231">
        <f>IF(A11="","",ROUND(AVERAGE(K11,Q11,W11),0))</f>
        <v>12633</v>
      </c>
      <c r="AA11" s="231">
        <f>IF(B11="","",Z11*F11)</f>
        <v>12633</v>
      </c>
      <c r="AB11" s="232">
        <f>IF(B11="","",ROUND(STDEV(M11,S11,Y11),0))</f>
        <v>2511</v>
      </c>
      <c r="AC11" s="233">
        <f>IF(B11="","",(AB11/AA11))</f>
        <v>0.19876513892187128</v>
      </c>
      <c r="AD11" s="223"/>
      <c r="AE11" s="234"/>
      <c r="AF11" s="7" t="e">
        <f>IF(C11="","",VLOOKUP(C11,[1]listaBolsa!$D$2:$BB$276,51,0))</f>
        <v>#N/A</v>
      </c>
      <c r="BG11" s="7">
        <v>2</v>
      </c>
      <c r="CA11" s="7" t="e">
        <f>VLOOKUP(C11,[1]listaBolsa!$D$2:$BA$1248,1,0)</f>
        <v>#N/A</v>
      </c>
      <c r="CB11" s="7" t="e">
        <f>VLOOKUP(C11,[1]listaBolsa!$D$2:$BA$1248,2,0)</f>
        <v>#N/A</v>
      </c>
      <c r="CC11" s="7" t="e">
        <f>VLOOKUP(C11,[1]listaBolsa!$D$2:$BA$1248,10,0)</f>
        <v>#N/A</v>
      </c>
      <c r="CD11" s="7" t="e">
        <f>VLOOKUP(C11,[1]listaBolsa!$D$2:$BA$1248,14,0)</f>
        <v>#N/A</v>
      </c>
      <c r="CE11" s="7" t="e">
        <f>VLOOKUP(C11,[1]listaBolsa!$D$2:$BA$1248,23,0)</f>
        <v>#N/A</v>
      </c>
      <c r="CF11" s="7" t="e">
        <f>VLOOKUP(C11,[1]listaBolsa!$D$2:$BA$1248,29,0)</f>
        <v>#N/A</v>
      </c>
      <c r="CG11" s="7" t="e">
        <f>VLOOKUP(C11,[1]listaBolsa!$D$2:$BA$1248,36,0)</f>
        <v>#N/A</v>
      </c>
      <c r="CH11" s="7" t="e">
        <f>VLOOKUP(C11,[1]listaBolsa!$D$2:$BA$1248,40,0)</f>
        <v>#N/A</v>
      </c>
      <c r="CI11" s="7" t="e">
        <f>VLOOKUP(C11,[1]listaBolsa!$D$2:$BA$1248,48,0)</f>
        <v>#N/A</v>
      </c>
      <c r="CJ11" s="7" t="e">
        <f t="shared" si="17"/>
        <v>#N/A</v>
      </c>
      <c r="CK11" s="7" t="e">
        <f t="shared" si="17"/>
        <v>#N/A</v>
      </c>
      <c r="CL11" s="7" t="e">
        <f t="shared" si="19"/>
        <v>#N/A</v>
      </c>
      <c r="CM11" s="7" t="e">
        <f t="shared" si="19"/>
        <v>#N/A</v>
      </c>
      <c r="CN11" s="7" t="e">
        <f t="shared" si="21"/>
        <v>#N/A</v>
      </c>
      <c r="CO11" s="7" t="e">
        <f t="shared" si="21"/>
        <v>#N/A</v>
      </c>
      <c r="CP11" s="7" t="e">
        <f t="shared" si="23"/>
        <v>#N/A</v>
      </c>
      <c r="CQ11" s="7" t="e">
        <f t="shared" si="23"/>
        <v>#N/A</v>
      </c>
      <c r="CR11" s="7" t="e">
        <f t="shared" si="25"/>
        <v>#N/A</v>
      </c>
    </row>
    <row r="12" spans="1:96" s="7" customFormat="1" ht="96">
      <c r="A12" s="75">
        <f t="shared" ref="A12:A66" si="26">IF(B12&lt;&gt;"",BG12,"")</f>
        <v>3</v>
      </c>
      <c r="B12" s="204" t="s">
        <v>1335</v>
      </c>
      <c r="C12" s="205" t="s">
        <v>1342</v>
      </c>
      <c r="D12" s="205" t="s">
        <v>1343</v>
      </c>
      <c r="E12" s="206" t="s">
        <v>1338</v>
      </c>
      <c r="F12" s="207">
        <v>1</v>
      </c>
      <c r="G12" s="205" t="s">
        <v>186</v>
      </c>
      <c r="H12" s="80" t="s">
        <v>1344</v>
      </c>
      <c r="I12" s="96">
        <v>33529.410000000003</v>
      </c>
      <c r="J12" s="97">
        <f t="shared" ref="J12:J14" si="27">I12*19%</f>
        <v>6370.5879000000004</v>
      </c>
      <c r="K12" s="97">
        <f t="shared" ref="K12:K14" si="28">I12+J12</f>
        <v>39899.997900000002</v>
      </c>
      <c r="L12" s="97">
        <f t="shared" ref="L12:L14" si="29">IF(B12="","",(I12*F12))</f>
        <v>33529.410000000003</v>
      </c>
      <c r="M12" s="97">
        <f t="shared" ref="M12:M14" si="30">IF(B12="","",(K12*F12))</f>
        <v>39899.997900000002</v>
      </c>
      <c r="N12" s="81" t="s">
        <v>1345</v>
      </c>
      <c r="O12" s="98">
        <v>33529.410000000003</v>
      </c>
      <c r="P12" s="99">
        <f t="shared" ref="P12:P14" si="31">O12*19%</f>
        <v>6370.5879000000004</v>
      </c>
      <c r="Q12" s="99">
        <f t="shared" ref="Q12:Q14" si="32">O12+P12</f>
        <v>39899.997900000002</v>
      </c>
      <c r="R12" s="99">
        <f t="shared" ref="R12:R14" si="33">IF(B12="","",(O12*F12))</f>
        <v>33529.410000000003</v>
      </c>
      <c r="S12" s="99">
        <f t="shared" ref="S12:S14" si="34">IF(B12="","",(Q12*F12))</f>
        <v>39899.997900000002</v>
      </c>
      <c r="T12" s="76" t="s">
        <v>1346</v>
      </c>
      <c r="U12" s="100">
        <v>30000</v>
      </c>
      <c r="V12" s="101">
        <f t="shared" si="9"/>
        <v>5700</v>
      </c>
      <c r="W12" s="101">
        <f t="shared" si="10"/>
        <v>35700</v>
      </c>
      <c r="X12" s="101">
        <f t="shared" si="11"/>
        <v>30000</v>
      </c>
      <c r="Y12" s="101">
        <f t="shared" si="12"/>
        <v>35700</v>
      </c>
      <c r="Z12" s="102">
        <f>IF(A12="","",ROUND(AVERAGE(K12,Q12,W12),0))</f>
        <v>38500</v>
      </c>
      <c r="AA12" s="102">
        <f>IF(B12="","",Z12*F12)</f>
        <v>38500</v>
      </c>
      <c r="AB12" s="103">
        <f>IF(B12="","",ROUND(STDEV(M12,S12,Y12),0))</f>
        <v>2425</v>
      </c>
      <c r="AC12" s="77">
        <f>IF(B12="","",(AB12/AA12))</f>
        <v>6.298701298701298E-2</v>
      </c>
      <c r="AD12" s="5"/>
      <c r="AF12" s="7" t="e">
        <f>IF(C12="","",VLOOKUP(C12,listaBolsa!$D$2:$BB$276,51,0))</f>
        <v>#N/A</v>
      </c>
      <c r="BG12" s="7">
        <v>3</v>
      </c>
      <c r="CA12" s="7" t="e">
        <f>VLOOKUP(C12,listaBolsa!$D$2:$BA$1248,1,0)</f>
        <v>#N/A</v>
      </c>
      <c r="CB12" s="7" t="e">
        <f>VLOOKUP(C12,listaBolsa!$D$2:$BA$1248,2,0)</f>
        <v>#N/A</v>
      </c>
      <c r="CC12" s="7" t="e">
        <f>VLOOKUP(C12,listaBolsa!$D$2:$BA$1248,10,0)</f>
        <v>#N/A</v>
      </c>
      <c r="CD12" s="7" t="e">
        <f>VLOOKUP(C12,listaBolsa!$D$2:$BA$1248,14,0)</f>
        <v>#N/A</v>
      </c>
      <c r="CE12" s="7" t="e">
        <f>VLOOKUP(C12,listaBolsa!$D$2:$BA$1248,23,0)</f>
        <v>#N/A</v>
      </c>
      <c r="CF12" s="7" t="e">
        <f>VLOOKUP(C12,listaBolsa!$D$2:$BA$1248,29,0)</f>
        <v>#N/A</v>
      </c>
      <c r="CG12" s="7" t="e">
        <f>VLOOKUP(C12,listaBolsa!$D$2:$BA$1248,36,0)</f>
        <v>#N/A</v>
      </c>
      <c r="CH12" s="7" t="e">
        <f>VLOOKUP(C12,listaBolsa!$D$2:$BA$1248,40,0)</f>
        <v>#N/A</v>
      </c>
      <c r="CI12" s="7" t="e">
        <f>VLOOKUP(C12,listaBolsa!$D$2:$BA$1248,48,0)</f>
        <v>#N/A</v>
      </c>
      <c r="CJ12" s="7" t="e">
        <f t="shared" si="17"/>
        <v>#N/A</v>
      </c>
      <c r="CK12" s="7" t="e">
        <f t="shared" si="18"/>
        <v>#N/A</v>
      </c>
      <c r="CL12" s="7" t="e">
        <f t="shared" si="19"/>
        <v>#N/A</v>
      </c>
      <c r="CM12" s="7" t="e">
        <f t="shared" si="20"/>
        <v>#N/A</v>
      </c>
      <c r="CN12" s="7" t="e">
        <f t="shared" si="21"/>
        <v>#N/A</v>
      </c>
      <c r="CO12" s="7" t="e">
        <f t="shared" si="22"/>
        <v>#N/A</v>
      </c>
      <c r="CP12" s="7" t="e">
        <f t="shared" si="23"/>
        <v>#N/A</v>
      </c>
      <c r="CQ12" s="7" t="e">
        <f t="shared" si="24"/>
        <v>#N/A</v>
      </c>
      <c r="CR12" s="7" t="e">
        <f t="shared" si="25"/>
        <v>#N/A</v>
      </c>
    </row>
    <row r="13" spans="1:96" s="7" customFormat="1" ht="120">
      <c r="A13" s="75">
        <f t="shared" si="26"/>
        <v>4</v>
      </c>
      <c r="B13" s="204" t="s">
        <v>1335</v>
      </c>
      <c r="C13" s="205" t="s">
        <v>1347</v>
      </c>
      <c r="D13" s="205" t="s">
        <v>1348</v>
      </c>
      <c r="E13" s="206" t="s">
        <v>1338</v>
      </c>
      <c r="F13" s="207">
        <v>1</v>
      </c>
      <c r="G13" s="205" t="s">
        <v>186</v>
      </c>
      <c r="H13" s="235" t="s">
        <v>1349</v>
      </c>
      <c r="I13" s="236">
        <v>37731</v>
      </c>
      <c r="J13" s="237">
        <f t="shared" si="27"/>
        <v>7168.89</v>
      </c>
      <c r="K13" s="237">
        <f t="shared" si="28"/>
        <v>44899.89</v>
      </c>
      <c r="L13" s="237">
        <f t="shared" si="29"/>
        <v>37731</v>
      </c>
      <c r="M13" s="237">
        <f t="shared" si="30"/>
        <v>44899.89</v>
      </c>
      <c r="N13" s="238" t="s">
        <v>1350</v>
      </c>
      <c r="O13" s="239">
        <v>37731.092436974788</v>
      </c>
      <c r="P13" s="240">
        <f t="shared" si="31"/>
        <v>7168.90756302521</v>
      </c>
      <c r="Q13" s="240">
        <f t="shared" si="32"/>
        <v>44900</v>
      </c>
      <c r="R13" s="240">
        <f t="shared" si="33"/>
        <v>37731.092436974788</v>
      </c>
      <c r="S13" s="240">
        <f t="shared" si="34"/>
        <v>44900</v>
      </c>
      <c r="T13" s="241" t="s">
        <v>1050</v>
      </c>
      <c r="U13" s="242">
        <v>37731</v>
      </c>
      <c r="V13" s="243">
        <f t="shared" si="9"/>
        <v>7168.89</v>
      </c>
      <c r="W13" s="243">
        <f t="shared" si="10"/>
        <v>44899.89</v>
      </c>
      <c r="X13" s="243">
        <f t="shared" si="11"/>
        <v>37731</v>
      </c>
      <c r="Y13" s="243">
        <f t="shared" si="12"/>
        <v>44899.89</v>
      </c>
      <c r="Z13" s="102">
        <f t="shared" si="13"/>
        <v>44900</v>
      </c>
      <c r="AA13" s="102">
        <f t="shared" si="14"/>
        <v>44900</v>
      </c>
      <c r="AB13" s="103">
        <f>IF(B13="","",ROUND(STDEV(M13,S13,Y13),0))</f>
        <v>0</v>
      </c>
      <c r="AC13" s="77">
        <f t="shared" si="16"/>
        <v>0</v>
      </c>
      <c r="AD13" s="5"/>
      <c r="AF13" s="7" t="e">
        <f>IF(C13="","",VLOOKUP(C13,listaBolsa!$D$2:$BB$276,51,0))</f>
        <v>#N/A</v>
      </c>
      <c r="BG13" s="7">
        <v>4</v>
      </c>
      <c r="CA13" s="7" t="e">
        <f>VLOOKUP(C13,listaBolsa!$D$2:$BA$1248,1,0)</f>
        <v>#N/A</v>
      </c>
      <c r="CB13" s="7" t="e">
        <f>VLOOKUP(C13,listaBolsa!$D$2:$BA$1248,2,0)</f>
        <v>#N/A</v>
      </c>
      <c r="CC13" s="7" t="e">
        <f>VLOOKUP(C13,listaBolsa!$D$2:$BA$1248,10,0)</f>
        <v>#N/A</v>
      </c>
      <c r="CD13" s="7" t="e">
        <f>VLOOKUP(C13,listaBolsa!$D$2:$BA$1248,14,0)</f>
        <v>#N/A</v>
      </c>
      <c r="CE13" s="7" t="e">
        <f>VLOOKUP(C13,listaBolsa!$D$2:$BA$1248,23,0)</f>
        <v>#N/A</v>
      </c>
      <c r="CF13" s="7" t="e">
        <f>VLOOKUP(C13,listaBolsa!$D$2:$BA$1248,29,0)</f>
        <v>#N/A</v>
      </c>
      <c r="CG13" s="7" t="e">
        <f>VLOOKUP(C13,listaBolsa!$D$2:$BA$1248,36,0)</f>
        <v>#N/A</v>
      </c>
      <c r="CH13" s="7" t="e">
        <f>VLOOKUP(C13,listaBolsa!$D$2:$BA$1248,40,0)</f>
        <v>#N/A</v>
      </c>
      <c r="CI13" s="7" t="e">
        <f>VLOOKUP(C13,listaBolsa!$D$2:$BA$1248,48,0)</f>
        <v>#N/A</v>
      </c>
      <c r="CJ13" s="7" t="e">
        <f t="shared" si="17"/>
        <v>#N/A</v>
      </c>
      <c r="CK13" s="7" t="e">
        <f t="shared" si="18"/>
        <v>#N/A</v>
      </c>
      <c r="CL13" s="7" t="e">
        <f t="shared" si="19"/>
        <v>#N/A</v>
      </c>
      <c r="CM13" s="7" t="e">
        <f t="shared" si="20"/>
        <v>#N/A</v>
      </c>
      <c r="CN13" s="7" t="e">
        <f t="shared" si="21"/>
        <v>#N/A</v>
      </c>
      <c r="CO13" s="7" t="e">
        <f t="shared" si="22"/>
        <v>#N/A</v>
      </c>
      <c r="CP13" s="7" t="e">
        <f t="shared" si="23"/>
        <v>#N/A</v>
      </c>
      <c r="CQ13" s="7" t="e">
        <f t="shared" si="24"/>
        <v>#N/A</v>
      </c>
      <c r="CR13" s="7" t="e">
        <f t="shared" si="25"/>
        <v>#N/A</v>
      </c>
    </row>
    <row r="14" spans="1:96" s="7" customFormat="1" ht="48">
      <c r="A14" s="75">
        <f t="shared" si="26"/>
        <v>5</v>
      </c>
      <c r="B14" s="204" t="s">
        <v>1335</v>
      </c>
      <c r="C14" s="205" t="s">
        <v>1351</v>
      </c>
      <c r="D14" s="205" t="s">
        <v>1352</v>
      </c>
      <c r="E14" s="206" t="s">
        <v>1338</v>
      </c>
      <c r="F14" s="207">
        <v>1</v>
      </c>
      <c r="G14" s="205" t="s">
        <v>186</v>
      </c>
      <c r="H14" s="244" t="s">
        <v>1353</v>
      </c>
      <c r="I14" s="236">
        <v>26050</v>
      </c>
      <c r="J14" s="237">
        <f t="shared" si="27"/>
        <v>4949.5</v>
      </c>
      <c r="K14" s="237">
        <f t="shared" si="28"/>
        <v>30999.5</v>
      </c>
      <c r="L14" s="237">
        <f t="shared" si="29"/>
        <v>26050</v>
      </c>
      <c r="M14" s="237">
        <f t="shared" si="30"/>
        <v>30999.5</v>
      </c>
      <c r="N14" s="238" t="s">
        <v>1350</v>
      </c>
      <c r="O14" s="239">
        <v>22689.0756302521</v>
      </c>
      <c r="P14" s="240">
        <f t="shared" si="31"/>
        <v>4310.9243697478987</v>
      </c>
      <c r="Q14" s="240">
        <f t="shared" si="32"/>
        <v>27000</v>
      </c>
      <c r="R14" s="240">
        <f t="shared" si="33"/>
        <v>22689.0756302521</v>
      </c>
      <c r="S14" s="240">
        <f t="shared" si="34"/>
        <v>27000</v>
      </c>
      <c r="T14" s="241" t="s">
        <v>1354</v>
      </c>
      <c r="U14" s="242">
        <v>23529.411764705885</v>
      </c>
      <c r="V14" s="243">
        <f t="shared" si="9"/>
        <v>4470.588235294118</v>
      </c>
      <c r="W14" s="243">
        <f t="shared" si="10"/>
        <v>28000.000000000004</v>
      </c>
      <c r="X14" s="243">
        <f t="shared" si="11"/>
        <v>23529.411764705885</v>
      </c>
      <c r="Y14" s="243">
        <f t="shared" si="12"/>
        <v>28000.000000000004</v>
      </c>
      <c r="Z14" s="102">
        <f t="shared" si="13"/>
        <v>28667</v>
      </c>
      <c r="AA14" s="102">
        <f t="shared" si="14"/>
        <v>28667</v>
      </c>
      <c r="AB14" s="103">
        <f t="shared" si="15"/>
        <v>2081</v>
      </c>
      <c r="AC14" s="77">
        <f t="shared" si="16"/>
        <v>7.259217916070744E-2</v>
      </c>
      <c r="AD14" s="5"/>
      <c r="AF14" s="7" t="e">
        <f>IF(C14="","",VLOOKUP(C14,listaBolsa!$D$2:$BB$276,51,0))</f>
        <v>#N/A</v>
      </c>
      <c r="BG14" s="7">
        <v>5</v>
      </c>
      <c r="CA14" s="7" t="e">
        <f>VLOOKUP(C14,listaBolsa!$D$2:$BA$1248,1,0)</f>
        <v>#N/A</v>
      </c>
      <c r="CB14" s="7" t="e">
        <f>VLOOKUP(C14,listaBolsa!$D$2:$BA$1248,2,0)</f>
        <v>#N/A</v>
      </c>
      <c r="CC14" s="7" t="e">
        <f>VLOOKUP(C14,listaBolsa!$D$2:$BA$1248,10,0)</f>
        <v>#N/A</v>
      </c>
      <c r="CD14" s="7" t="e">
        <f>VLOOKUP(C14,listaBolsa!$D$2:$BA$1248,14,0)</f>
        <v>#N/A</v>
      </c>
      <c r="CE14" s="7" t="e">
        <f>VLOOKUP(C14,listaBolsa!$D$2:$BA$1248,23,0)</f>
        <v>#N/A</v>
      </c>
      <c r="CF14" s="7" t="e">
        <f>VLOOKUP(C14,listaBolsa!$D$2:$BA$1248,29,0)</f>
        <v>#N/A</v>
      </c>
      <c r="CG14" s="7" t="e">
        <f>VLOOKUP(C14,listaBolsa!$D$2:$BA$1248,36,0)</f>
        <v>#N/A</v>
      </c>
      <c r="CH14" s="7" t="e">
        <f>VLOOKUP(C14,listaBolsa!$D$2:$BA$1248,40,0)</f>
        <v>#N/A</v>
      </c>
      <c r="CI14" s="7" t="e">
        <f>VLOOKUP(C14,listaBolsa!$D$2:$BA$1248,48,0)</f>
        <v>#N/A</v>
      </c>
      <c r="CJ14" s="7" t="e">
        <f t="shared" si="17"/>
        <v>#N/A</v>
      </c>
      <c r="CK14" s="7" t="e">
        <f t="shared" si="18"/>
        <v>#N/A</v>
      </c>
      <c r="CL14" s="7" t="e">
        <f t="shared" si="19"/>
        <v>#N/A</v>
      </c>
      <c r="CM14" s="7" t="e">
        <f t="shared" si="20"/>
        <v>#N/A</v>
      </c>
      <c r="CN14" s="7" t="e">
        <f t="shared" si="21"/>
        <v>#N/A</v>
      </c>
      <c r="CO14" s="7" t="e">
        <f t="shared" si="22"/>
        <v>#N/A</v>
      </c>
      <c r="CP14" s="7" t="e">
        <f t="shared" si="23"/>
        <v>#N/A</v>
      </c>
      <c r="CQ14" s="7" t="e">
        <f t="shared" si="24"/>
        <v>#N/A</v>
      </c>
      <c r="CR14" s="7" t="e">
        <f t="shared" si="25"/>
        <v>#N/A</v>
      </c>
    </row>
    <row r="15" spans="1:96" s="7" customFormat="1" ht="48">
      <c r="A15" s="75">
        <f t="shared" si="26"/>
        <v>6</v>
      </c>
      <c r="B15" s="210" t="s">
        <v>1335</v>
      </c>
      <c r="C15" s="205" t="s">
        <v>1355</v>
      </c>
      <c r="D15" s="205" t="s">
        <v>1356</v>
      </c>
      <c r="E15" s="211" t="s">
        <v>1338</v>
      </c>
      <c r="F15" s="207">
        <v>20</v>
      </c>
      <c r="G15" s="205" t="s">
        <v>186</v>
      </c>
      <c r="H15" s="80" t="s">
        <v>1357</v>
      </c>
      <c r="I15" s="96">
        <v>24000</v>
      </c>
      <c r="J15" s="97"/>
      <c r="K15" s="97">
        <f t="shared" ref="K15:K30" si="35">I15+J15</f>
        <v>24000</v>
      </c>
      <c r="L15" s="97">
        <f t="shared" ref="L15:L66" si="36">IF(B15="","",(I15*F15))</f>
        <v>480000</v>
      </c>
      <c r="M15" s="97">
        <f t="shared" ref="M15:M66" si="37">IF(B15="","",(K15*F15))</f>
        <v>480000</v>
      </c>
      <c r="N15" s="81" t="s">
        <v>894</v>
      </c>
      <c r="O15" s="98">
        <v>24000</v>
      </c>
      <c r="P15" s="99"/>
      <c r="Q15" s="99">
        <f t="shared" ref="Q15:Q66" si="38">O15+P15</f>
        <v>24000</v>
      </c>
      <c r="R15" s="99">
        <f t="shared" ref="R15:R66" si="39">IF(B15="","",(O15*F15))</f>
        <v>480000</v>
      </c>
      <c r="S15" s="99">
        <f t="shared" ref="S15:S66" si="40">IF(B15="","",(Q15*F15))</f>
        <v>480000</v>
      </c>
      <c r="T15" s="76" t="s">
        <v>1358</v>
      </c>
      <c r="U15" s="100">
        <v>29000</v>
      </c>
      <c r="V15" s="101">
        <f t="shared" ref="V15:V66" si="41">U15*19%</f>
        <v>5510</v>
      </c>
      <c r="W15" s="101">
        <f t="shared" ref="W15:W66" si="42">U15+V15</f>
        <v>34510</v>
      </c>
      <c r="X15" s="101">
        <f t="shared" ref="X15:X66" si="43">IF(B15="","",(U15*F15))</f>
        <v>580000</v>
      </c>
      <c r="Y15" s="101">
        <f t="shared" ref="Y15:Y66" si="44">IF(B15="","",(W15*F15))</f>
        <v>690200</v>
      </c>
      <c r="Z15" s="102">
        <f t="shared" ref="Z15:Z66" si="45">IF(A15="","",ROUND(AVERAGE(K15,Q15,W15),0))</f>
        <v>27503</v>
      </c>
      <c r="AA15" s="102">
        <f t="shared" ref="AA15:AA66" si="46">IF(B15="","",Z15*F15)</f>
        <v>550060</v>
      </c>
      <c r="AB15" s="103">
        <f t="shared" ref="AB15:AB66" si="47">IF(B15="","",ROUND(STDEV(M15,S15,Y15),0))</f>
        <v>121359</v>
      </c>
      <c r="AC15" s="389">
        <f t="shared" ref="AC15:AC66" si="48">IF(B15="","",(AB15/AA15))</f>
        <v>0.22062865869177908</v>
      </c>
      <c r="AD15" s="5"/>
      <c r="AF15" s="7" t="e">
        <f>IF(C15="","",VLOOKUP(C15,listaBolsa!$D$2:$BB$276,51,0))</f>
        <v>#N/A</v>
      </c>
      <c r="BG15" s="7">
        <v>6</v>
      </c>
      <c r="CA15" s="7" t="e">
        <f>VLOOKUP(C15,listaBolsa!$D$2:$BA$1248,1,0)</f>
        <v>#N/A</v>
      </c>
      <c r="CB15" s="7" t="e">
        <f>VLOOKUP(C15,listaBolsa!$D$2:$BA$1248,2,0)</f>
        <v>#N/A</v>
      </c>
      <c r="CC15" s="7" t="e">
        <f>VLOOKUP(C15,listaBolsa!$D$2:$BA$1248,10,0)</f>
        <v>#N/A</v>
      </c>
      <c r="CD15" s="7" t="e">
        <f>VLOOKUP(C15,listaBolsa!$D$2:$BA$1248,14,0)</f>
        <v>#N/A</v>
      </c>
      <c r="CE15" s="7" t="e">
        <f>VLOOKUP(C15,listaBolsa!$D$2:$BA$1248,23,0)</f>
        <v>#N/A</v>
      </c>
      <c r="CF15" s="7" t="e">
        <f>VLOOKUP(C15,listaBolsa!$D$2:$BA$1248,29,0)</f>
        <v>#N/A</v>
      </c>
      <c r="CG15" s="7" t="e">
        <f>VLOOKUP(C15,listaBolsa!$D$2:$BA$1248,36,0)</f>
        <v>#N/A</v>
      </c>
      <c r="CH15" s="7" t="e">
        <f>VLOOKUP(C15,listaBolsa!$D$2:$BA$1248,40,0)</f>
        <v>#N/A</v>
      </c>
      <c r="CI15" s="7" t="e">
        <f>VLOOKUP(C15,listaBolsa!$D$2:$BA$1248,48,0)</f>
        <v>#N/A</v>
      </c>
      <c r="CJ15" s="7" t="e">
        <f t="shared" si="17"/>
        <v>#N/A</v>
      </c>
      <c r="CK15" s="7" t="e">
        <f t="shared" si="18"/>
        <v>#N/A</v>
      </c>
      <c r="CL15" s="7" t="e">
        <f t="shared" si="19"/>
        <v>#N/A</v>
      </c>
      <c r="CM15" s="7" t="e">
        <f t="shared" si="20"/>
        <v>#N/A</v>
      </c>
      <c r="CN15" s="7" t="e">
        <f t="shared" si="21"/>
        <v>#N/A</v>
      </c>
      <c r="CO15" s="7" t="e">
        <f t="shared" si="22"/>
        <v>#N/A</v>
      </c>
      <c r="CP15" s="7" t="e">
        <f t="shared" si="23"/>
        <v>#N/A</v>
      </c>
      <c r="CQ15" s="7" t="e">
        <f t="shared" si="24"/>
        <v>#N/A</v>
      </c>
      <c r="CR15" s="7" t="e">
        <f t="shared" si="25"/>
        <v>#N/A</v>
      </c>
    </row>
    <row r="16" spans="1:96" s="7" customFormat="1" ht="105">
      <c r="A16" s="75">
        <f t="shared" si="26"/>
        <v>7</v>
      </c>
      <c r="B16" s="204" t="s">
        <v>1335</v>
      </c>
      <c r="C16" s="205" t="s">
        <v>749</v>
      </c>
      <c r="D16" s="205" t="s">
        <v>750</v>
      </c>
      <c r="E16" s="206" t="s">
        <v>185</v>
      </c>
      <c r="F16" s="207">
        <v>3</v>
      </c>
      <c r="G16" s="205" t="s">
        <v>186</v>
      </c>
      <c r="H16" s="80" t="str">
        <f>IF(C16="","",VLOOKUP(C16,listaBolsa!$D$2:$W$1118,10,0))</f>
        <v>INVER Y DISTRIBUIDORES DIAMOND</v>
      </c>
      <c r="I16" s="96">
        <f>IF(C16="","",VLOOKUP(C16,listaBolsa!$D$2:$W$1118,14,0))</f>
        <v>12687</v>
      </c>
      <c r="J16" s="97">
        <f t="shared" ref="J16:J27" si="49">I16*19%</f>
        <v>2410.5300000000002</v>
      </c>
      <c r="K16" s="97">
        <f t="shared" si="35"/>
        <v>15097.53</v>
      </c>
      <c r="L16" s="97">
        <f t="shared" si="36"/>
        <v>38061</v>
      </c>
      <c r="M16" s="97">
        <f t="shared" si="37"/>
        <v>45292.590000000004</v>
      </c>
      <c r="N16" s="81" t="str">
        <f>IF(C16="","",VLOOKUP(C16,listaBolsa!$D$2:$AZ$1276,23,0))</f>
        <v>Papeleria Paraiso</v>
      </c>
      <c r="O16" s="98">
        <f>IF(C16="","",VLOOKUP(C16,listaBolsa!$D$2:$AZ$1276,27,0))</f>
        <v>10084.033613445379</v>
      </c>
      <c r="P16" s="99">
        <f t="shared" ref="P16:P66" si="50">O16*19%</f>
        <v>1915.966386554622</v>
      </c>
      <c r="Q16" s="99">
        <f t="shared" si="38"/>
        <v>12000.000000000002</v>
      </c>
      <c r="R16" s="99">
        <f t="shared" si="39"/>
        <v>30252.100840336137</v>
      </c>
      <c r="S16" s="99">
        <f t="shared" si="40"/>
        <v>36000.000000000007</v>
      </c>
      <c r="T16" s="76" t="str">
        <f>IF(C16="","",VLOOKUP(C16,listaBolsa!$D$2:$BB$1276,36,0))</f>
        <v>Papeleria la Estacion de Suba</v>
      </c>
      <c r="U16" s="100">
        <f>IF(C16="","",VLOOKUP(C16,listaBolsa!$D$2:$BB$1276,40,0))</f>
        <v>12436.974789915967</v>
      </c>
      <c r="V16" s="101">
        <f t="shared" si="41"/>
        <v>2363.0252100840335</v>
      </c>
      <c r="W16" s="101">
        <f t="shared" si="42"/>
        <v>14800</v>
      </c>
      <c r="X16" s="101">
        <f t="shared" si="43"/>
        <v>37310.924369747896</v>
      </c>
      <c r="Y16" s="101">
        <f t="shared" si="44"/>
        <v>44400</v>
      </c>
      <c r="Z16" s="102">
        <f t="shared" si="45"/>
        <v>13966</v>
      </c>
      <c r="AA16" s="102">
        <f t="shared" si="46"/>
        <v>41898</v>
      </c>
      <c r="AB16" s="103">
        <f t="shared" si="47"/>
        <v>5127</v>
      </c>
      <c r="AC16" s="77">
        <f t="shared" si="48"/>
        <v>0.12236860948016612</v>
      </c>
      <c r="AD16" s="5"/>
      <c r="AF16" s="7">
        <f>IF(C16="","",VLOOKUP(C16,listaBolsa!$D$2:$BB$276,51,0))</f>
        <v>0</v>
      </c>
      <c r="BG16" s="7">
        <v>7</v>
      </c>
      <c r="CA16" s="7" t="str">
        <f>VLOOKUP(C16,listaBolsa!$D$2:$BA$1248,1,0)</f>
        <v xml:space="preserve">Marcador permanente caja x 10 </v>
      </c>
      <c r="CB16" s="7" t="str">
        <f>VLOOKUP(C16,listaBolsa!$D$2:$BA$1248,2,0)</f>
        <v>Caja de 10 marcadores permanentes de colores variados con tinta de secado rápido, resistente al agua y a la decoloración. Punta de fibra de alta resistencia (redonda o biselada) capaz de marcar sobre múltiples superficies como papel, cartón, metal, plástico y vidrio</v>
      </c>
      <c r="CC16" s="7" t="str">
        <f>VLOOKUP(C16,listaBolsa!$D$2:$BA$1248,10,0)</f>
        <v>INVER Y DISTRIBUIDORES DIAMOND</v>
      </c>
      <c r="CD16" s="7">
        <f>VLOOKUP(C16,listaBolsa!$D$2:$BA$1248,14,0)</f>
        <v>12687</v>
      </c>
      <c r="CE16" s="7" t="str">
        <f>VLOOKUP(C16,listaBolsa!$D$2:$BA$1248,23,0)</f>
        <v>Papeleria Paraiso</v>
      </c>
      <c r="CF16" s="7">
        <f>VLOOKUP(C16,listaBolsa!$D$2:$BA$1248,29,0)</f>
        <v>12000.000000000002</v>
      </c>
      <c r="CG16" s="7" t="str">
        <f>VLOOKUP(C16,listaBolsa!$D$2:$BA$1248,36,0)</f>
        <v>Papeleria la Estacion de Suba</v>
      </c>
      <c r="CH16" s="7">
        <f>VLOOKUP(C16,listaBolsa!$D$2:$BA$1248,40,0)</f>
        <v>12436.974789915967</v>
      </c>
      <c r="CI16" s="7">
        <f>VLOOKUP(C16,listaBolsa!$D$2:$BA$1248,48,0)</f>
        <v>0.12236860948016612</v>
      </c>
      <c r="CJ16" s="7" t="b">
        <f t="shared" si="17"/>
        <v>1</v>
      </c>
      <c r="CK16" s="7" t="b">
        <f t="shared" si="18"/>
        <v>1</v>
      </c>
      <c r="CL16" s="7" t="b">
        <f t="shared" si="19"/>
        <v>1</v>
      </c>
      <c r="CM16" s="7" t="b">
        <f t="shared" si="20"/>
        <v>1</v>
      </c>
      <c r="CN16" s="7" t="b">
        <f t="shared" si="21"/>
        <v>1</v>
      </c>
      <c r="CO16" s="7" t="b">
        <f t="shared" si="22"/>
        <v>0</v>
      </c>
      <c r="CP16" s="7" t="b">
        <f t="shared" si="23"/>
        <v>1</v>
      </c>
      <c r="CQ16" s="7" t="b">
        <f t="shared" si="24"/>
        <v>1</v>
      </c>
      <c r="CR16" s="7" t="b">
        <f t="shared" si="25"/>
        <v>1</v>
      </c>
    </row>
    <row r="17" spans="1:96" s="7" customFormat="1" ht="48">
      <c r="A17" s="75">
        <f t="shared" si="26"/>
        <v>8</v>
      </c>
      <c r="B17" s="204" t="s">
        <v>1335</v>
      </c>
      <c r="C17" s="205" t="s">
        <v>1359</v>
      </c>
      <c r="D17" s="205" t="s">
        <v>1360</v>
      </c>
      <c r="E17" s="206" t="s">
        <v>1338</v>
      </c>
      <c r="F17" s="207">
        <v>3</v>
      </c>
      <c r="G17" s="205" t="s">
        <v>186</v>
      </c>
      <c r="H17" s="80" t="s">
        <v>1246</v>
      </c>
      <c r="I17" s="96">
        <v>26990</v>
      </c>
      <c r="J17" s="97"/>
      <c r="K17" s="97">
        <f t="shared" si="35"/>
        <v>26990</v>
      </c>
      <c r="L17" s="97">
        <f t="shared" si="36"/>
        <v>80970</v>
      </c>
      <c r="M17" s="97">
        <f t="shared" si="37"/>
        <v>80970</v>
      </c>
      <c r="N17" s="81" t="s">
        <v>1361</v>
      </c>
      <c r="O17" s="98">
        <v>28800</v>
      </c>
      <c r="P17" s="99"/>
      <c r="Q17" s="99">
        <f t="shared" si="38"/>
        <v>28800</v>
      </c>
      <c r="R17" s="99">
        <f t="shared" si="39"/>
        <v>86400</v>
      </c>
      <c r="S17" s="99">
        <f t="shared" si="40"/>
        <v>86400</v>
      </c>
      <c r="T17" s="76" t="s">
        <v>1362</v>
      </c>
      <c r="U17" s="100">
        <v>27400</v>
      </c>
      <c r="V17" s="101"/>
      <c r="W17" s="101">
        <f t="shared" si="42"/>
        <v>27400</v>
      </c>
      <c r="X17" s="101">
        <f t="shared" si="43"/>
        <v>82200</v>
      </c>
      <c r="Y17" s="101">
        <f t="shared" si="44"/>
        <v>82200</v>
      </c>
      <c r="Z17" s="102">
        <f t="shared" si="45"/>
        <v>27730</v>
      </c>
      <c r="AA17" s="102">
        <f t="shared" si="46"/>
        <v>83190</v>
      </c>
      <c r="AB17" s="103">
        <f t="shared" si="47"/>
        <v>2847</v>
      </c>
      <c r="AC17" s="77">
        <f t="shared" si="48"/>
        <v>3.4222863324918862E-2</v>
      </c>
      <c r="AD17" s="5"/>
      <c r="AF17" s="7" t="e">
        <f>IF(C17="","",VLOOKUP(C17,listaBolsa!$D$2:$BB$276,51,0))</f>
        <v>#N/A</v>
      </c>
      <c r="BG17" s="7">
        <v>8</v>
      </c>
      <c r="CA17" s="7" t="e">
        <f>VLOOKUP(C17,listaBolsa!$D$2:$BA$1248,1,0)</f>
        <v>#N/A</v>
      </c>
      <c r="CB17" s="7" t="e">
        <f>VLOOKUP(C17,listaBolsa!$D$2:$BA$1248,2,0)</f>
        <v>#N/A</v>
      </c>
      <c r="CC17" s="7" t="e">
        <f>VLOOKUP(C17,listaBolsa!$D$2:$BA$1248,10,0)</f>
        <v>#N/A</v>
      </c>
      <c r="CD17" s="7" t="e">
        <f>VLOOKUP(C17,listaBolsa!$D$2:$BA$1248,14,0)</f>
        <v>#N/A</v>
      </c>
      <c r="CE17" s="7" t="e">
        <f>VLOOKUP(C17,listaBolsa!$D$2:$BA$1248,23,0)</f>
        <v>#N/A</v>
      </c>
      <c r="CF17" s="7" t="e">
        <f>VLOOKUP(C17,listaBolsa!$D$2:$BA$1248,29,0)</f>
        <v>#N/A</v>
      </c>
      <c r="CG17" s="7" t="e">
        <f>VLOOKUP(C17,listaBolsa!$D$2:$BA$1248,36,0)</f>
        <v>#N/A</v>
      </c>
      <c r="CH17" s="7" t="e">
        <f>VLOOKUP(C17,listaBolsa!$D$2:$BA$1248,40,0)</f>
        <v>#N/A</v>
      </c>
      <c r="CI17" s="7" t="e">
        <f>VLOOKUP(C17,listaBolsa!$D$2:$BA$1248,48,0)</f>
        <v>#N/A</v>
      </c>
      <c r="CJ17" s="7" t="e">
        <f t="shared" si="17"/>
        <v>#N/A</v>
      </c>
      <c r="CK17" s="7" t="e">
        <f t="shared" si="18"/>
        <v>#N/A</v>
      </c>
      <c r="CL17" s="7" t="e">
        <f t="shared" si="19"/>
        <v>#N/A</v>
      </c>
      <c r="CM17" s="7" t="e">
        <f t="shared" si="20"/>
        <v>#N/A</v>
      </c>
      <c r="CN17" s="7" t="e">
        <f t="shared" si="21"/>
        <v>#N/A</v>
      </c>
      <c r="CO17" s="7" t="e">
        <f t="shared" si="22"/>
        <v>#N/A</v>
      </c>
      <c r="CP17" s="7" t="e">
        <f t="shared" si="23"/>
        <v>#N/A</v>
      </c>
      <c r="CQ17" s="7" t="e">
        <f t="shared" si="24"/>
        <v>#N/A</v>
      </c>
      <c r="CR17" s="7" t="e">
        <f t="shared" si="25"/>
        <v>#N/A</v>
      </c>
    </row>
    <row r="18" spans="1:96" s="7" customFormat="1" ht="60">
      <c r="A18" s="75">
        <f t="shared" si="26"/>
        <v>9</v>
      </c>
      <c r="B18" s="204" t="s">
        <v>1335</v>
      </c>
      <c r="C18" s="205" t="s">
        <v>891</v>
      </c>
      <c r="D18" s="205" t="s">
        <v>892</v>
      </c>
      <c r="E18" s="206" t="s">
        <v>185</v>
      </c>
      <c r="F18" s="207">
        <v>8</v>
      </c>
      <c r="G18" s="205" t="s">
        <v>186</v>
      </c>
      <c r="H18" s="80" t="str">
        <f>IF(C18="","",VLOOKUP(C18,listaBolsa!$D$2:$W$1118,10,0))</f>
        <v>PANAMERICANA</v>
      </c>
      <c r="I18" s="96">
        <f>IF(C18="","",VLOOKUP(C18,listaBolsa!$D$2:$W$1118,14,0))</f>
        <v>29159.663865546219</v>
      </c>
      <c r="J18" s="97">
        <f t="shared" si="49"/>
        <v>5540.3361344537816</v>
      </c>
      <c r="K18" s="97">
        <f t="shared" si="35"/>
        <v>34700</v>
      </c>
      <c r="L18" s="97">
        <f t="shared" si="36"/>
        <v>233277.31092436975</v>
      </c>
      <c r="M18" s="97">
        <f t="shared" si="37"/>
        <v>277600</v>
      </c>
      <c r="N18" s="81" t="str">
        <f>IF(C18="","",VLOOKUP(C18,listaBolsa!$D$2:$AZ$1276,23,0))</f>
        <v>COMERCIALIZADORA TJ</v>
      </c>
      <c r="O18" s="98">
        <f>IF(C18="","",VLOOKUP(C18,listaBolsa!$D$2:$AZ$1276,27,0))</f>
        <v>27120</v>
      </c>
      <c r="P18" s="99">
        <f t="shared" si="50"/>
        <v>5152.8</v>
      </c>
      <c r="Q18" s="99">
        <f t="shared" si="38"/>
        <v>32272.799999999999</v>
      </c>
      <c r="R18" s="99">
        <f t="shared" si="39"/>
        <v>216960</v>
      </c>
      <c r="S18" s="99">
        <f t="shared" si="40"/>
        <v>258182.39999999999</v>
      </c>
      <c r="T18" s="76" t="str">
        <f>IF(C18="","",VLOOKUP(C18,listaBolsa!$D$2:$BB$1276,36,0))</f>
        <v>LA GRAN PAPELERA</v>
      </c>
      <c r="U18" s="100">
        <f>IF(C18="","",VLOOKUP(C18,listaBolsa!$D$2:$BB$1276,40,0))</f>
        <v>28319.327731092439</v>
      </c>
      <c r="V18" s="101">
        <f t="shared" si="41"/>
        <v>5380.6722689075632</v>
      </c>
      <c r="W18" s="101">
        <f t="shared" si="42"/>
        <v>33700</v>
      </c>
      <c r="X18" s="101">
        <f t="shared" si="43"/>
        <v>226554.62184873951</v>
      </c>
      <c r="Y18" s="101">
        <f t="shared" si="44"/>
        <v>269600</v>
      </c>
      <c r="Z18" s="102">
        <f t="shared" si="45"/>
        <v>33558</v>
      </c>
      <c r="AA18" s="102">
        <f t="shared" si="46"/>
        <v>268464</v>
      </c>
      <c r="AB18" s="103">
        <f t="shared" si="47"/>
        <v>9759</v>
      </c>
      <c r="AC18" s="77">
        <f t="shared" si="48"/>
        <v>3.6351242624709457E-2</v>
      </c>
      <c r="AD18" s="5"/>
      <c r="AF18" s="7">
        <f>IF(C18="","",VLOOKUP(C18,listaBolsa!$D$2:$BB$276,51,0))</f>
        <v>0</v>
      </c>
      <c r="BG18" s="7">
        <v>9</v>
      </c>
      <c r="CA18" s="7" t="str">
        <f>VLOOKUP(C18,listaBolsa!$D$2:$BA$1248,1,0)</f>
        <v>Pintura acrílica  de colores variados por  500 ml</v>
      </c>
      <c r="CB18" s="7" t="str">
        <f>VLOOKUP(C18,listaBolsa!$D$2:$BA$1248,2,0)</f>
        <v>Pintura acrílica 500 ml: Presentación en frasco mediano con tapa de rosca, consistencia espesa y alta concentración de pigmento, colores variados</v>
      </c>
      <c r="CC18" s="7" t="str">
        <f>VLOOKUP(C18,listaBolsa!$D$2:$BA$1248,10,0)</f>
        <v>PANAMERICANA</v>
      </c>
      <c r="CD18" s="7">
        <f>VLOOKUP(C18,listaBolsa!$D$2:$BA$1248,14,0)</f>
        <v>29159.663865546219</v>
      </c>
      <c r="CE18" s="7" t="str">
        <f>VLOOKUP(C18,listaBolsa!$D$2:$BA$1248,23,0)</f>
        <v>COMERCIALIZADORA TJ</v>
      </c>
      <c r="CF18" s="7">
        <f>VLOOKUP(C18,listaBolsa!$D$2:$BA$1248,29,0)</f>
        <v>32272.799999999999</v>
      </c>
      <c r="CG18" s="7" t="str">
        <f>VLOOKUP(C18,listaBolsa!$D$2:$BA$1248,36,0)</f>
        <v>LA GRAN PAPELERA</v>
      </c>
      <c r="CH18" s="7">
        <f>VLOOKUP(C18,listaBolsa!$D$2:$BA$1248,40,0)</f>
        <v>28319.327731092439</v>
      </c>
      <c r="CI18" s="7">
        <f>VLOOKUP(C18,listaBolsa!$D$2:$BA$1248,48,0)</f>
        <v>3.6354967518922462E-2</v>
      </c>
      <c r="CJ18" s="7" t="b">
        <f t="shared" si="17"/>
        <v>1</v>
      </c>
      <c r="CK18" s="7" t="b">
        <f t="shared" si="18"/>
        <v>1</v>
      </c>
      <c r="CL18" s="7" t="b">
        <f t="shared" si="19"/>
        <v>1</v>
      </c>
      <c r="CM18" s="7" t="b">
        <f t="shared" si="20"/>
        <v>1</v>
      </c>
      <c r="CN18" s="7" t="b">
        <f t="shared" si="21"/>
        <v>1</v>
      </c>
      <c r="CO18" s="7" t="b">
        <f t="shared" si="22"/>
        <v>0</v>
      </c>
      <c r="CP18" s="7" t="b">
        <f t="shared" si="23"/>
        <v>1</v>
      </c>
      <c r="CQ18" s="7" t="b">
        <f t="shared" si="24"/>
        <v>1</v>
      </c>
      <c r="CR18" s="7" t="b">
        <f t="shared" si="25"/>
        <v>0</v>
      </c>
    </row>
    <row r="19" spans="1:96" s="7" customFormat="1" ht="75">
      <c r="A19" s="75">
        <f t="shared" si="26"/>
        <v>10</v>
      </c>
      <c r="B19" s="204" t="s">
        <v>1335</v>
      </c>
      <c r="C19" s="205" t="s">
        <v>684</v>
      </c>
      <c r="D19" s="205" t="s">
        <v>685</v>
      </c>
      <c r="E19" s="206" t="s">
        <v>185</v>
      </c>
      <c r="F19" s="207">
        <v>3</v>
      </c>
      <c r="G19" s="205" t="s">
        <v>186</v>
      </c>
      <c r="H19" s="80" t="str">
        <f>IF(C19="","",VLOOKUP(C19,listaBolsa!$D$2:$W$1118,10,0))</f>
        <v>Panamericana</v>
      </c>
      <c r="I19" s="96">
        <f>IF(C19="","",VLOOKUP(C19,listaBolsa!$D$2:$W$1118,14,0))</f>
        <v>16722.689075630253</v>
      </c>
      <c r="J19" s="97">
        <f t="shared" si="49"/>
        <v>3177.3109243697481</v>
      </c>
      <c r="K19" s="97">
        <f t="shared" si="35"/>
        <v>19900</v>
      </c>
      <c r="L19" s="97">
        <f t="shared" si="36"/>
        <v>50168.067226890758</v>
      </c>
      <c r="M19" s="97">
        <f t="shared" si="37"/>
        <v>59700</v>
      </c>
      <c r="N19" s="81" t="str">
        <f>IF(C19="","",VLOOKUP(C19,listaBolsa!$D$2:$AZ$1276,23,0))</f>
        <v>Comercializadora Tj</v>
      </c>
      <c r="O19" s="98">
        <f>IF(C19="","",VLOOKUP(C19,listaBolsa!$D$2:$AZ$1276,27,0))</f>
        <v>18200</v>
      </c>
      <c r="P19" s="99">
        <f t="shared" si="50"/>
        <v>3458</v>
      </c>
      <c r="Q19" s="99">
        <f t="shared" si="38"/>
        <v>21658</v>
      </c>
      <c r="R19" s="99">
        <f t="shared" si="39"/>
        <v>54600</v>
      </c>
      <c r="S19" s="99">
        <f t="shared" si="40"/>
        <v>64974</v>
      </c>
      <c r="T19" s="76" t="str">
        <f>IF(C19="","",VLOOKUP(C19,listaBolsa!$D$2:$BB$1276,36,0))</f>
        <v>Panafargo</v>
      </c>
      <c r="U19" s="100">
        <f>IF(C19="","",VLOOKUP(C19,listaBolsa!$D$2:$BB$1276,40,0))</f>
        <v>14705.882352941177</v>
      </c>
      <c r="V19" s="101">
        <f t="shared" si="41"/>
        <v>2794.1176470588234</v>
      </c>
      <c r="W19" s="101">
        <f t="shared" si="42"/>
        <v>17500</v>
      </c>
      <c r="X19" s="101">
        <f t="shared" si="43"/>
        <v>44117.647058823532</v>
      </c>
      <c r="Y19" s="101">
        <f t="shared" si="44"/>
        <v>52500</v>
      </c>
      <c r="Z19" s="102">
        <f t="shared" si="45"/>
        <v>19686</v>
      </c>
      <c r="AA19" s="102">
        <f t="shared" si="46"/>
        <v>59058</v>
      </c>
      <c r="AB19" s="103">
        <f t="shared" si="47"/>
        <v>6262</v>
      </c>
      <c r="AC19" s="77">
        <f t="shared" si="48"/>
        <v>0.10603135900301398</v>
      </c>
      <c r="AD19" s="5"/>
      <c r="AF19" s="7">
        <f>IF(C19="","",VLOOKUP(C19,listaBolsa!$D$2:$BB$276,51,0))</f>
        <v>0</v>
      </c>
      <c r="BG19" s="7">
        <v>10</v>
      </c>
      <c r="CA19" s="7" t="str">
        <f>VLOOKUP(C19,listaBolsa!$D$2:$BA$1248,1,0)</f>
        <v>Kit de Pinceles Mixtos (Set x 10 unidades)</v>
      </c>
      <c r="CB19" s="7" t="str">
        <f>VLOOKUP(C19,listaBolsa!$D$2:$BA$1248,2,0)</f>
        <v>Set de 10 pinceles de diferentes formas (redondos, planos y de detalle) y tamaños variados. Diseñados con cerdas sintéticas suaves y resistentes, mangos de mader,a para el uso de témperas, acrílicos y vinilos.</v>
      </c>
      <c r="CC19" s="7" t="str">
        <f>VLOOKUP(C19,listaBolsa!$D$2:$BA$1248,10,0)</f>
        <v>Panamericana</v>
      </c>
      <c r="CD19" s="7">
        <f>VLOOKUP(C19,listaBolsa!$D$2:$BA$1248,14,0)</f>
        <v>16722.689075630253</v>
      </c>
      <c r="CE19" s="7" t="str">
        <f>VLOOKUP(C19,listaBolsa!$D$2:$BA$1248,23,0)</f>
        <v>Comercializadora Tj</v>
      </c>
      <c r="CF19" s="7">
        <f>VLOOKUP(C19,listaBolsa!$D$2:$BA$1248,29,0)</f>
        <v>21658</v>
      </c>
      <c r="CG19" s="7" t="str">
        <f>VLOOKUP(C19,listaBolsa!$D$2:$BA$1248,36,0)</f>
        <v>Panafargo</v>
      </c>
      <c r="CH19" s="7">
        <f>VLOOKUP(C19,listaBolsa!$D$2:$BA$1248,40,0)</f>
        <v>14705.882352941177</v>
      </c>
      <c r="CI19" s="7">
        <f>VLOOKUP(C19,listaBolsa!$D$2:$BA$1248,48,0)</f>
        <v>0.106014426495987</v>
      </c>
      <c r="CJ19" s="7" t="b">
        <f t="shared" si="17"/>
        <v>1</v>
      </c>
      <c r="CK19" s="7" t="b">
        <f t="shared" si="18"/>
        <v>1</v>
      </c>
      <c r="CL19" s="7" t="b">
        <f t="shared" si="19"/>
        <v>1</v>
      </c>
      <c r="CM19" s="7" t="b">
        <f t="shared" si="20"/>
        <v>1</v>
      </c>
      <c r="CN19" s="7" t="b">
        <f t="shared" si="21"/>
        <v>1</v>
      </c>
      <c r="CO19" s="7" t="b">
        <f t="shared" si="22"/>
        <v>0</v>
      </c>
      <c r="CP19" s="7" t="b">
        <f t="shared" si="23"/>
        <v>1</v>
      </c>
      <c r="CQ19" s="7" t="b">
        <f t="shared" si="24"/>
        <v>1</v>
      </c>
      <c r="CR19" s="7" t="b">
        <f t="shared" si="25"/>
        <v>0</v>
      </c>
    </row>
    <row r="20" spans="1:96" s="7" customFormat="1" ht="90">
      <c r="A20" s="75">
        <f t="shared" si="26"/>
        <v>11</v>
      </c>
      <c r="B20" s="204" t="s">
        <v>1335</v>
      </c>
      <c r="C20" s="205" t="s">
        <v>878</v>
      </c>
      <c r="D20" s="205" t="s">
        <v>879</v>
      </c>
      <c r="E20" s="206" t="s">
        <v>185</v>
      </c>
      <c r="F20" s="207">
        <v>5</v>
      </c>
      <c r="G20" s="205" t="s">
        <v>186</v>
      </c>
      <c r="H20" s="80" t="str">
        <f>IF(C20="","",VLOOKUP(C20,listaBolsa!$D$2:$W$1118,10,0))</f>
        <v>INVER Y DISTRIBUIDORES DIAMOND</v>
      </c>
      <c r="I20" s="96">
        <f>IF(C20="","",VLOOKUP(C20,listaBolsa!$D$2:$W$1118,14,0))</f>
        <v>11000</v>
      </c>
      <c r="J20" s="97">
        <f t="shared" si="49"/>
        <v>2090</v>
      </c>
      <c r="K20" s="97">
        <f t="shared" si="35"/>
        <v>13090</v>
      </c>
      <c r="L20" s="97">
        <f t="shared" si="36"/>
        <v>55000</v>
      </c>
      <c r="M20" s="97">
        <f t="shared" si="37"/>
        <v>65450</v>
      </c>
      <c r="N20" s="81" t="str">
        <f>IF(C20="","",VLOOKUP(C20,listaBolsa!$D$2:$AZ$1276,23,0))</f>
        <v>JUGANDO Y EDUCANDO</v>
      </c>
      <c r="O20" s="98">
        <f>IF(C20="","",VLOOKUP(C20,listaBolsa!$D$2:$AZ$1276,27,0))</f>
        <v>12521.008403361346</v>
      </c>
      <c r="P20" s="99">
        <f t="shared" si="50"/>
        <v>2378.9915966386557</v>
      </c>
      <c r="Q20" s="99">
        <f t="shared" si="38"/>
        <v>14900.000000000002</v>
      </c>
      <c r="R20" s="99">
        <f t="shared" si="39"/>
        <v>62605.042016806728</v>
      </c>
      <c r="S20" s="99">
        <f t="shared" si="40"/>
        <v>74500.000000000015</v>
      </c>
      <c r="T20" s="76" t="str">
        <f>IF(C20="","",VLOOKUP(C20,listaBolsa!$D$2:$BB$1276,36,0))</f>
        <v>FALABELLA</v>
      </c>
      <c r="U20" s="100">
        <f>IF(C20="","",VLOOKUP(C20,listaBolsa!$D$2:$BB$1276,40,0))</f>
        <v>16722.689075630253</v>
      </c>
      <c r="V20" s="101">
        <f t="shared" si="41"/>
        <v>3177.3109243697481</v>
      </c>
      <c r="W20" s="101">
        <f t="shared" si="42"/>
        <v>19900</v>
      </c>
      <c r="X20" s="101">
        <f t="shared" si="43"/>
        <v>83613.445378151257</v>
      </c>
      <c r="Y20" s="101">
        <f t="shared" si="44"/>
        <v>99500</v>
      </c>
      <c r="Z20" s="102">
        <f t="shared" si="45"/>
        <v>15963</v>
      </c>
      <c r="AA20" s="102">
        <f t="shared" si="46"/>
        <v>79815</v>
      </c>
      <c r="AB20" s="103">
        <f t="shared" si="47"/>
        <v>17637</v>
      </c>
      <c r="AC20" s="77">
        <f t="shared" si="48"/>
        <v>0.22097350122157489</v>
      </c>
      <c r="AD20" s="5"/>
      <c r="AF20" s="7">
        <f>IF(C20="","",VLOOKUP(C20,listaBolsa!$D$2:$BB$276,51,0))</f>
        <v>0</v>
      </c>
      <c r="BG20" s="7">
        <v>11</v>
      </c>
      <c r="CA20" s="7" t="str">
        <f>VLOOKUP(C20,listaBolsa!$D$2:$BA$1248,1,0)</f>
        <v>Pinceles finger max</v>
      </c>
      <c r="CB20" s="7" t="str">
        <f>VLOOKUP(C20,listaBolsa!$D$2:$BA$1248,2,0)</f>
        <v>Elemento de motricidad fina diseñado para incentivar la pinza y facilitar el proceso de dibujo y trazos.  Ideal para estimulación temprana y expresión artística inicial. Elaborado en caucho PVC resistente.Tallas: Small y Medium.</v>
      </c>
      <c r="CC20" s="7" t="str">
        <f>VLOOKUP(C20,listaBolsa!$D$2:$BA$1248,10,0)</f>
        <v>INVER Y DISTRIBUIDORES DIAMOND</v>
      </c>
      <c r="CD20" s="7">
        <f>VLOOKUP(C20,listaBolsa!$D$2:$BA$1248,14,0)</f>
        <v>11000</v>
      </c>
      <c r="CE20" s="7" t="str">
        <f>VLOOKUP(C20,listaBolsa!$D$2:$BA$1248,23,0)</f>
        <v>JUGANDO Y EDUCANDO</v>
      </c>
      <c r="CF20" s="7">
        <f>VLOOKUP(C20,listaBolsa!$D$2:$BA$1248,29,0)</f>
        <v>14900.000000000002</v>
      </c>
      <c r="CG20" s="7" t="str">
        <f>VLOOKUP(C20,listaBolsa!$D$2:$BA$1248,36,0)</f>
        <v>FALABELLA</v>
      </c>
      <c r="CH20" s="7">
        <f>VLOOKUP(C20,listaBolsa!$D$2:$BA$1248,40,0)</f>
        <v>16722.689075630253</v>
      </c>
      <c r="CI20" s="7">
        <f>VLOOKUP(C20,listaBolsa!$D$2:$BA$1248,48,0)</f>
        <v>0.2209484432750736</v>
      </c>
      <c r="CJ20" s="7" t="b">
        <f t="shared" si="17"/>
        <v>1</v>
      </c>
      <c r="CK20" s="7" t="b">
        <f t="shared" si="18"/>
        <v>1</v>
      </c>
      <c r="CL20" s="7" t="b">
        <f t="shared" si="19"/>
        <v>1</v>
      </c>
      <c r="CM20" s="7" t="b">
        <f t="shared" si="20"/>
        <v>1</v>
      </c>
      <c r="CN20" s="7" t="b">
        <f t="shared" si="21"/>
        <v>1</v>
      </c>
      <c r="CO20" s="7" t="b">
        <f t="shared" si="22"/>
        <v>0</v>
      </c>
      <c r="CP20" s="7" t="b">
        <f t="shared" si="23"/>
        <v>1</v>
      </c>
      <c r="CQ20" s="7" t="b">
        <f t="shared" si="24"/>
        <v>1</v>
      </c>
      <c r="CR20" s="7" t="b">
        <f t="shared" si="25"/>
        <v>0</v>
      </c>
    </row>
    <row r="21" spans="1:96" s="7" customFormat="1" ht="60">
      <c r="A21" s="75">
        <f t="shared" si="26"/>
        <v>12</v>
      </c>
      <c r="B21" s="204" t="s">
        <v>1335</v>
      </c>
      <c r="C21" s="205" t="s">
        <v>928</v>
      </c>
      <c r="D21" s="205" t="s">
        <v>929</v>
      </c>
      <c r="E21" s="206" t="s">
        <v>185</v>
      </c>
      <c r="F21" s="207">
        <v>1</v>
      </c>
      <c r="G21" s="205" t="s">
        <v>186</v>
      </c>
      <c r="H21" s="80" t="str">
        <f>IF(C21="","",VLOOKUP(C21,listaBolsa!$D$2:$W$1118,10,0))</f>
        <v>PAPELERIA PARAISO</v>
      </c>
      <c r="I21" s="96">
        <f>IF(C21="","",VLOOKUP(C21,listaBolsa!$D$2:$W$1118,14,0))</f>
        <v>12605.042016806723</v>
      </c>
      <c r="J21" s="97">
        <f t="shared" si="49"/>
        <v>2394.9579831932774</v>
      </c>
      <c r="K21" s="97">
        <f t="shared" si="35"/>
        <v>15000</v>
      </c>
      <c r="L21" s="97">
        <f t="shared" si="36"/>
        <v>12605.042016806723</v>
      </c>
      <c r="M21" s="97">
        <f t="shared" si="37"/>
        <v>15000</v>
      </c>
      <c r="N21" s="81" t="str">
        <f>IF(C21="","",VLOOKUP(C21,listaBolsa!$D$2:$AZ$1276,23,0))</f>
        <v>PAPELERIA LA ESTACION DE SUBA</v>
      </c>
      <c r="O21" s="98">
        <f>IF(C21="","",VLOOKUP(C21,listaBolsa!$D$2:$AZ$1276,27,0))</f>
        <v>12605.042016806723</v>
      </c>
      <c r="P21" s="99">
        <f t="shared" si="50"/>
        <v>2394.9579831932774</v>
      </c>
      <c r="Q21" s="99">
        <f t="shared" si="38"/>
        <v>15000</v>
      </c>
      <c r="R21" s="99">
        <f t="shared" si="39"/>
        <v>12605.042016806723</v>
      </c>
      <c r="S21" s="99">
        <f t="shared" si="40"/>
        <v>15000</v>
      </c>
      <c r="T21" s="76" t="str">
        <f>IF(C21="","",VLOOKUP(C21,listaBolsa!$D$2:$BB$1276,36,0))</f>
        <v>INVER Y DISTRIBUIDORES DIAMOND</v>
      </c>
      <c r="U21" s="100">
        <f>IF(C21="","",VLOOKUP(C21,listaBolsa!$D$2:$BB$1276,40,0))</f>
        <v>15497</v>
      </c>
      <c r="V21" s="101">
        <f t="shared" si="41"/>
        <v>2944.43</v>
      </c>
      <c r="W21" s="101">
        <f t="shared" si="42"/>
        <v>18441.43</v>
      </c>
      <c r="X21" s="101">
        <f t="shared" si="43"/>
        <v>15497</v>
      </c>
      <c r="Y21" s="101">
        <f t="shared" si="44"/>
        <v>18441.43</v>
      </c>
      <c r="Z21" s="102">
        <f t="shared" si="45"/>
        <v>16147</v>
      </c>
      <c r="AA21" s="102">
        <f t="shared" si="46"/>
        <v>16147</v>
      </c>
      <c r="AB21" s="103">
        <f t="shared" si="47"/>
        <v>1987</v>
      </c>
      <c r="AC21" s="77">
        <f t="shared" si="48"/>
        <v>0.12305691459713879</v>
      </c>
      <c r="AD21" s="5"/>
      <c r="AF21" s="7">
        <f>IF(C21="","",VLOOKUP(C21,listaBolsa!$D$2:$BB$276,51,0))</f>
        <v>0</v>
      </c>
      <c r="BG21" s="7">
        <v>12</v>
      </c>
      <c r="CA21" s="7" t="str">
        <f>VLOOKUP(C21,listaBolsa!$D$2:$BA$1248,1,0)</f>
        <v>Resma hoja blanca tamaño carta</v>
      </c>
      <c r="CB21" s="7" t="str">
        <f>VLOOKUP(C21,listaBolsa!$D$2:$BA$1248,2,0)</f>
        <v>Resma de papel bond tamaño carta: Paquete de 500 hojas de 75 gr</v>
      </c>
      <c r="CC21" s="7" t="str">
        <f>VLOOKUP(C21,listaBolsa!$D$2:$BA$1248,10,0)</f>
        <v>PAPELERIA PARAISO</v>
      </c>
      <c r="CD21" s="7">
        <f>VLOOKUP(C21,listaBolsa!$D$2:$BA$1248,14,0)</f>
        <v>12605.042016806723</v>
      </c>
      <c r="CE21" s="7" t="str">
        <f>VLOOKUP(C21,listaBolsa!$D$2:$BA$1248,23,0)</f>
        <v>PAPELERIA LA ESTACION DE SUBA</v>
      </c>
      <c r="CF21" s="7">
        <f>VLOOKUP(C21,listaBolsa!$D$2:$BA$1248,29,0)</f>
        <v>15000</v>
      </c>
      <c r="CG21" s="7" t="str">
        <f>VLOOKUP(C21,listaBolsa!$D$2:$BA$1248,36,0)</f>
        <v>INVER Y DISTRIBUIDORES DIAMOND</v>
      </c>
      <c r="CH21" s="7">
        <f>VLOOKUP(C21,listaBolsa!$D$2:$BA$1248,40,0)</f>
        <v>15497</v>
      </c>
      <c r="CI21" s="7">
        <f>VLOOKUP(C21,listaBolsa!$D$2:$BA$1248,48,0)</f>
        <v>0.12305691459713879</v>
      </c>
      <c r="CJ21" s="7" t="b">
        <f t="shared" si="17"/>
        <v>1</v>
      </c>
      <c r="CK21" s="7" t="b">
        <f t="shared" si="18"/>
        <v>1</v>
      </c>
      <c r="CL21" s="7" t="b">
        <f t="shared" si="19"/>
        <v>1</v>
      </c>
      <c r="CM21" s="7" t="b">
        <f t="shared" si="20"/>
        <v>1</v>
      </c>
      <c r="CN21" s="7" t="b">
        <f t="shared" si="21"/>
        <v>1</v>
      </c>
      <c r="CO21" s="7" t="b">
        <f t="shared" si="22"/>
        <v>0</v>
      </c>
      <c r="CP21" s="7" t="b">
        <f t="shared" si="23"/>
        <v>1</v>
      </c>
      <c r="CQ21" s="7" t="b">
        <f t="shared" si="24"/>
        <v>1</v>
      </c>
      <c r="CR21" s="7" t="b">
        <f t="shared" si="25"/>
        <v>1</v>
      </c>
    </row>
    <row r="22" spans="1:96" s="7" customFormat="1" ht="168">
      <c r="A22" s="75">
        <f t="shared" si="26"/>
        <v>13</v>
      </c>
      <c r="B22" s="204" t="s">
        <v>1363</v>
      </c>
      <c r="C22" s="205" t="s">
        <v>239</v>
      </c>
      <c r="D22" s="205" t="s">
        <v>1364</v>
      </c>
      <c r="E22" s="206" t="s">
        <v>185</v>
      </c>
      <c r="F22" s="207">
        <v>50</v>
      </c>
      <c r="G22" s="205" t="s">
        <v>186</v>
      </c>
      <c r="H22" s="80" t="str">
        <f>IF(C22="","",VLOOKUP(C22,listaBolsa!$D$2:$W$1118,10,0))</f>
        <v>DICOES GRUPÓ PUBLICITARIO SAS</v>
      </c>
      <c r="I22" s="96">
        <f>IF(C22="","",VLOOKUP(C22,listaBolsa!$D$2:$W$1118,14,0))</f>
        <v>28000</v>
      </c>
      <c r="J22" s="97">
        <f t="shared" si="49"/>
        <v>5320</v>
      </c>
      <c r="K22" s="97">
        <f t="shared" si="35"/>
        <v>33320</v>
      </c>
      <c r="L22" s="97">
        <f t="shared" si="36"/>
        <v>1400000</v>
      </c>
      <c r="M22" s="97">
        <f t="shared" si="37"/>
        <v>1666000</v>
      </c>
      <c r="N22" s="81" t="str">
        <f>IF(C22="","",VLOOKUP(C22,listaBolsa!$D$2:$AZ$1276,23,0))</f>
        <v>SG DIGITAL S.A.S</v>
      </c>
      <c r="O22" s="98">
        <f>IF(C22="","",VLOOKUP(C22,listaBolsa!$D$2:$AZ$1276,27,0))</f>
        <v>26554.621848739498</v>
      </c>
      <c r="P22" s="99">
        <f t="shared" si="50"/>
        <v>5045.3781512605046</v>
      </c>
      <c r="Q22" s="99">
        <f t="shared" si="38"/>
        <v>31600.000000000004</v>
      </c>
      <c r="R22" s="99">
        <f t="shared" si="39"/>
        <v>1327731.0924369749</v>
      </c>
      <c r="S22" s="99">
        <f t="shared" si="40"/>
        <v>1580000.0000000002</v>
      </c>
      <c r="T22" s="76" t="str">
        <f>IF(C22="","",VLOOKUP(C22,listaBolsa!$D$2:$BB$1276,36,0))</f>
        <v>Angie Pachon (personalizado INK)</v>
      </c>
      <c r="U22" s="100">
        <f>IF(C22="","",VLOOKUP(C22,listaBolsa!$D$2:$BB$1276,40,0))</f>
        <v>30000</v>
      </c>
      <c r="V22" s="101">
        <f t="shared" si="41"/>
        <v>5700</v>
      </c>
      <c r="W22" s="101">
        <f t="shared" si="42"/>
        <v>35700</v>
      </c>
      <c r="X22" s="101">
        <f t="shared" si="43"/>
        <v>1500000</v>
      </c>
      <c r="Y22" s="101">
        <f t="shared" si="44"/>
        <v>1785000</v>
      </c>
      <c r="Z22" s="102">
        <f t="shared" si="45"/>
        <v>33540</v>
      </c>
      <c r="AA22" s="102">
        <f t="shared" si="46"/>
        <v>1677000</v>
      </c>
      <c r="AB22" s="103">
        <f t="shared" si="47"/>
        <v>102942</v>
      </c>
      <c r="AC22" s="77">
        <f t="shared" si="48"/>
        <v>6.1384615384615385E-2</v>
      </c>
      <c r="AD22" s="5"/>
      <c r="AF22" s="7" t="str">
        <f>IF(C22="","",VLOOKUP(C22,listaBolsa!$D$2:$BB$276,51,0))</f>
        <v>Tercer ítem sin IVA</v>
      </c>
      <c r="BG22" s="7">
        <v>13</v>
      </c>
      <c r="CA22" s="7" t="str">
        <f>VLOOKUP(C22,listaBolsa!$D$2:$BA$1248,1,0)</f>
        <v>Agendas con esfero con logos institucionales</v>
      </c>
      <c r="CB22" s="7" t="str">
        <f>VLOOKUP(C22,listaBolsa!$D$2:$BA$1248,2,0)</f>
        <v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v>
      </c>
      <c r="CC22" s="7" t="str">
        <f>VLOOKUP(C22,listaBolsa!$D$2:$BA$1248,10,0)</f>
        <v>DICOES GRUPÓ PUBLICITARIO SAS</v>
      </c>
      <c r="CD22" s="7">
        <f>VLOOKUP(C22,listaBolsa!$D$2:$BA$1248,14,0)</f>
        <v>28000</v>
      </c>
      <c r="CE22" s="7" t="str">
        <f>VLOOKUP(C22,listaBolsa!$D$2:$BA$1248,23,0)</f>
        <v>SG DIGITAL S.A.S</v>
      </c>
      <c r="CF22" s="7">
        <f>VLOOKUP(C22,listaBolsa!$D$2:$BA$1248,29,0)</f>
        <v>31600.000000000004</v>
      </c>
      <c r="CG22" s="7" t="str">
        <f>VLOOKUP(C22,listaBolsa!$D$2:$BA$1248,36,0)</f>
        <v>Angie Pachon (personalizado INK)</v>
      </c>
      <c r="CH22" s="7">
        <f>VLOOKUP(C22,listaBolsa!$D$2:$BA$1248,40,0)</f>
        <v>30000</v>
      </c>
      <c r="CI22" s="7">
        <f>VLOOKUP(C22,listaBolsa!$D$2:$BA$1248,48,0)</f>
        <v>5.2465233881163087E-2</v>
      </c>
      <c r="CJ22" s="7" t="b">
        <f t="shared" si="17"/>
        <v>1</v>
      </c>
      <c r="CK22" s="7" t="b">
        <f t="shared" si="18"/>
        <v>0</v>
      </c>
      <c r="CL22" s="7" t="b">
        <f t="shared" si="19"/>
        <v>1</v>
      </c>
      <c r="CM22" s="7" t="b">
        <f t="shared" si="20"/>
        <v>1</v>
      </c>
      <c r="CN22" s="7" t="b">
        <f t="shared" si="21"/>
        <v>1</v>
      </c>
      <c r="CO22" s="7" t="b">
        <f t="shared" si="22"/>
        <v>0</v>
      </c>
      <c r="CP22" s="7" t="b">
        <f t="shared" si="23"/>
        <v>1</v>
      </c>
      <c r="CQ22" s="7" t="b">
        <f t="shared" si="24"/>
        <v>1</v>
      </c>
      <c r="CR22" s="7" t="b">
        <f t="shared" si="25"/>
        <v>0</v>
      </c>
    </row>
    <row r="23" spans="1:96" s="7" customFormat="1" ht="168">
      <c r="A23" s="75">
        <f>IF(B23&lt;&gt;"",BG23,"")</f>
        <v>14</v>
      </c>
      <c r="B23" s="210" t="s">
        <v>1335</v>
      </c>
      <c r="C23" s="205" t="s">
        <v>1365</v>
      </c>
      <c r="D23" s="205" t="s">
        <v>1366</v>
      </c>
      <c r="E23" s="211" t="s">
        <v>1367</v>
      </c>
      <c r="F23" s="207">
        <v>16</v>
      </c>
      <c r="G23" s="205" t="s">
        <v>1116</v>
      </c>
      <c r="H23" s="80" t="s">
        <v>1368</v>
      </c>
      <c r="I23" s="96">
        <v>380000</v>
      </c>
      <c r="J23" s="97">
        <f t="shared" si="49"/>
        <v>72200</v>
      </c>
      <c r="K23" s="97">
        <f t="shared" si="35"/>
        <v>452200</v>
      </c>
      <c r="L23" s="97">
        <f t="shared" si="36"/>
        <v>6080000</v>
      </c>
      <c r="M23" s="97">
        <f t="shared" si="37"/>
        <v>7235200</v>
      </c>
      <c r="N23" s="81" t="s">
        <v>1369</v>
      </c>
      <c r="O23" s="98">
        <v>350000</v>
      </c>
      <c r="P23" s="99">
        <f t="shared" si="50"/>
        <v>66500</v>
      </c>
      <c r="Q23" s="99">
        <f t="shared" si="38"/>
        <v>416500</v>
      </c>
      <c r="R23" s="99">
        <f t="shared" si="39"/>
        <v>5600000</v>
      </c>
      <c r="S23" s="99">
        <f t="shared" si="40"/>
        <v>6664000</v>
      </c>
      <c r="T23" s="76" t="s">
        <v>1370</v>
      </c>
      <c r="U23" s="100">
        <v>480000</v>
      </c>
      <c r="V23" s="101">
        <f t="shared" si="41"/>
        <v>91200</v>
      </c>
      <c r="W23" s="101">
        <f t="shared" si="42"/>
        <v>571200</v>
      </c>
      <c r="X23" s="101">
        <f t="shared" si="43"/>
        <v>7680000</v>
      </c>
      <c r="Y23" s="101">
        <f t="shared" si="44"/>
        <v>9139200</v>
      </c>
      <c r="Z23" s="102">
        <f t="shared" si="45"/>
        <v>479967</v>
      </c>
      <c r="AA23" s="102">
        <f t="shared" si="46"/>
        <v>7679472</v>
      </c>
      <c r="AB23" s="103">
        <f t="shared" si="47"/>
        <v>1296026</v>
      </c>
      <c r="AC23" s="77">
        <f t="shared" si="48"/>
        <v>0.16876498800959233</v>
      </c>
      <c r="AD23" s="5"/>
      <c r="AF23" s="7" t="e">
        <f>IF(C23="","",VLOOKUP(C23,listaBolsa!$D$2:$BB$276,51,0))</f>
        <v>#N/A</v>
      </c>
      <c r="BG23" s="7">
        <v>14</v>
      </c>
      <c r="CA23" s="7" t="e">
        <f>VLOOKUP(C23,listaBolsa!$D$2:$BA$1248,1,0)</f>
        <v>#N/A</v>
      </c>
      <c r="CB23" s="7" t="e">
        <f>VLOOKUP(C23,listaBolsa!$D$2:$BA$1248,2,0)</f>
        <v>#N/A</v>
      </c>
      <c r="CC23" s="7" t="e">
        <f>VLOOKUP(C23,listaBolsa!$D$2:$BA$1248,10,0)</f>
        <v>#N/A</v>
      </c>
      <c r="CD23" s="7" t="e">
        <f>VLOOKUP(C23,listaBolsa!$D$2:$BA$1248,14,0)</f>
        <v>#N/A</v>
      </c>
      <c r="CE23" s="7" t="e">
        <f>VLOOKUP(C23,listaBolsa!$D$2:$BA$1248,23,0)</f>
        <v>#N/A</v>
      </c>
      <c r="CF23" s="7" t="e">
        <f>VLOOKUP(C23,listaBolsa!$D$2:$BA$1248,29,0)</f>
        <v>#N/A</v>
      </c>
      <c r="CG23" s="7" t="e">
        <f>VLOOKUP(C23,listaBolsa!$D$2:$BA$1248,36,0)</f>
        <v>#N/A</v>
      </c>
      <c r="CH23" s="7" t="e">
        <f>VLOOKUP(C23,listaBolsa!$D$2:$BA$1248,40,0)</f>
        <v>#N/A</v>
      </c>
      <c r="CI23" s="7" t="e">
        <f>VLOOKUP(C23,listaBolsa!$D$2:$BA$1248,48,0)</f>
        <v>#N/A</v>
      </c>
      <c r="CJ23" s="7" t="e">
        <f t="shared" si="17"/>
        <v>#N/A</v>
      </c>
      <c r="CK23" s="7" t="e">
        <f t="shared" si="18"/>
        <v>#N/A</v>
      </c>
      <c r="CL23" s="7" t="e">
        <f t="shared" si="19"/>
        <v>#N/A</v>
      </c>
      <c r="CM23" s="7" t="e">
        <f t="shared" si="20"/>
        <v>#N/A</v>
      </c>
      <c r="CN23" s="7" t="e">
        <f t="shared" si="21"/>
        <v>#N/A</v>
      </c>
      <c r="CO23" s="7" t="e">
        <f t="shared" si="22"/>
        <v>#N/A</v>
      </c>
      <c r="CP23" s="7" t="e">
        <f t="shared" si="23"/>
        <v>#N/A</v>
      </c>
      <c r="CQ23" s="7" t="e">
        <f t="shared" si="24"/>
        <v>#N/A</v>
      </c>
      <c r="CR23" s="7" t="e">
        <f t="shared" si="25"/>
        <v>#N/A</v>
      </c>
    </row>
    <row r="24" spans="1:96" s="7" customFormat="1" ht="408">
      <c r="A24" s="75">
        <f t="shared" si="26"/>
        <v>15</v>
      </c>
      <c r="B24" s="204" t="s">
        <v>1363</v>
      </c>
      <c r="C24" s="208" t="s">
        <v>1371</v>
      </c>
      <c r="D24" s="208" t="s">
        <v>1372</v>
      </c>
      <c r="E24" s="206" t="s">
        <v>185</v>
      </c>
      <c r="F24" s="209">
        <v>55</v>
      </c>
      <c r="G24" s="208" t="s">
        <v>186</v>
      </c>
      <c r="H24" s="244" t="s">
        <v>1138</v>
      </c>
      <c r="I24" s="236">
        <v>31000</v>
      </c>
      <c r="J24" s="237">
        <f t="shared" si="49"/>
        <v>5890</v>
      </c>
      <c r="K24" s="237">
        <f t="shared" si="35"/>
        <v>36890</v>
      </c>
      <c r="L24" s="237">
        <f t="shared" si="36"/>
        <v>1705000</v>
      </c>
      <c r="M24" s="237">
        <f t="shared" si="37"/>
        <v>2028950</v>
      </c>
      <c r="N24" s="238" t="s">
        <v>1140</v>
      </c>
      <c r="O24" s="239">
        <v>32820</v>
      </c>
      <c r="P24" s="240">
        <f t="shared" si="50"/>
        <v>6235.8</v>
      </c>
      <c r="Q24" s="240">
        <f t="shared" si="38"/>
        <v>39055.800000000003</v>
      </c>
      <c r="R24" s="240">
        <f t="shared" si="39"/>
        <v>1805100</v>
      </c>
      <c r="S24" s="240">
        <f t="shared" si="40"/>
        <v>2148069</v>
      </c>
      <c r="T24" s="241" t="s">
        <v>1373</v>
      </c>
      <c r="U24" s="242">
        <v>34200</v>
      </c>
      <c r="V24" s="243">
        <f t="shared" si="41"/>
        <v>6498</v>
      </c>
      <c r="W24" s="243">
        <f t="shared" si="42"/>
        <v>40698</v>
      </c>
      <c r="X24" s="243">
        <f t="shared" si="43"/>
        <v>1881000</v>
      </c>
      <c r="Y24" s="243">
        <f t="shared" si="44"/>
        <v>2238390</v>
      </c>
      <c r="Z24" s="102">
        <f t="shared" si="45"/>
        <v>38881</v>
      </c>
      <c r="AA24" s="102">
        <f t="shared" si="46"/>
        <v>2138455</v>
      </c>
      <c r="AB24" s="103">
        <f t="shared" si="47"/>
        <v>105049</v>
      </c>
      <c r="AC24" s="77">
        <f t="shared" si="48"/>
        <v>4.9123783292143161E-2</v>
      </c>
      <c r="AD24" s="5"/>
      <c r="AF24" s="7" t="e">
        <f>IF(C24="","",VLOOKUP(C24,listaBolsa!$D$2:$BB$276,51,0))</f>
        <v>#N/A</v>
      </c>
      <c r="BG24" s="7">
        <v>15</v>
      </c>
      <c r="CA24" s="7" t="e">
        <f>VLOOKUP(C24,listaBolsa!$D$2:$BA$1248,1,0)</f>
        <v>#N/A</v>
      </c>
      <c r="CB24" s="7" t="e">
        <f>VLOOKUP(C24,listaBolsa!$D$2:$BA$1248,2,0)</f>
        <v>#N/A</v>
      </c>
      <c r="CC24" s="7" t="e">
        <f>VLOOKUP(C24,listaBolsa!$D$2:$BA$1248,10,0)</f>
        <v>#N/A</v>
      </c>
      <c r="CD24" s="7" t="e">
        <f>VLOOKUP(C24,listaBolsa!$D$2:$BA$1248,14,0)</f>
        <v>#N/A</v>
      </c>
      <c r="CE24" s="7" t="e">
        <f>VLOOKUP(C24,listaBolsa!$D$2:$BA$1248,23,0)</f>
        <v>#N/A</v>
      </c>
      <c r="CF24" s="7" t="e">
        <f>VLOOKUP(C24,listaBolsa!$D$2:$BA$1248,29,0)</f>
        <v>#N/A</v>
      </c>
      <c r="CG24" s="7" t="e">
        <f>VLOOKUP(C24,listaBolsa!$D$2:$BA$1248,36,0)</f>
        <v>#N/A</v>
      </c>
      <c r="CH24" s="7" t="e">
        <f>VLOOKUP(C24,listaBolsa!$D$2:$BA$1248,40,0)</f>
        <v>#N/A</v>
      </c>
      <c r="CI24" s="7" t="e">
        <f>VLOOKUP(C24,listaBolsa!$D$2:$BA$1248,48,0)</f>
        <v>#N/A</v>
      </c>
      <c r="CJ24" s="7" t="e">
        <f t="shared" si="17"/>
        <v>#N/A</v>
      </c>
      <c r="CK24" s="7" t="e">
        <f t="shared" si="18"/>
        <v>#N/A</v>
      </c>
      <c r="CL24" s="7" t="e">
        <f t="shared" si="19"/>
        <v>#N/A</v>
      </c>
      <c r="CM24" s="7" t="e">
        <f t="shared" si="20"/>
        <v>#N/A</v>
      </c>
      <c r="CN24" s="7" t="e">
        <f t="shared" si="21"/>
        <v>#N/A</v>
      </c>
      <c r="CO24" s="7" t="e">
        <f t="shared" si="22"/>
        <v>#N/A</v>
      </c>
      <c r="CP24" s="7" t="e">
        <f t="shared" si="23"/>
        <v>#N/A</v>
      </c>
      <c r="CQ24" s="7" t="e">
        <f t="shared" si="24"/>
        <v>#N/A</v>
      </c>
      <c r="CR24" s="7" t="e">
        <f t="shared" si="25"/>
        <v>#N/A</v>
      </c>
    </row>
    <row r="25" spans="1:96" s="7" customFormat="1" ht="216">
      <c r="A25" s="75">
        <f t="shared" si="26"/>
        <v>16</v>
      </c>
      <c r="B25" s="210" t="s">
        <v>1363</v>
      </c>
      <c r="C25" s="205" t="s">
        <v>1374</v>
      </c>
      <c r="D25" s="205" t="s">
        <v>1375</v>
      </c>
      <c r="E25" s="211" t="s">
        <v>1367</v>
      </c>
      <c r="F25" s="207">
        <f>50*3</f>
        <v>150</v>
      </c>
      <c r="G25" s="205" t="s">
        <v>1116</v>
      </c>
      <c r="H25" s="80" t="s">
        <v>1376</v>
      </c>
      <c r="I25" s="96">
        <v>76386.55</v>
      </c>
      <c r="J25" s="97">
        <f t="shared" si="49"/>
        <v>14513.444500000001</v>
      </c>
      <c r="K25" s="97">
        <f t="shared" si="35"/>
        <v>90899.994500000001</v>
      </c>
      <c r="L25" s="97">
        <f t="shared" si="36"/>
        <v>11457982.5</v>
      </c>
      <c r="M25" s="97">
        <f t="shared" si="37"/>
        <v>13634999.175000001</v>
      </c>
      <c r="N25" s="81" t="s">
        <v>1377</v>
      </c>
      <c r="O25" s="98">
        <v>66385.55</v>
      </c>
      <c r="P25" s="99">
        <f t="shared" si="50"/>
        <v>12613.254500000001</v>
      </c>
      <c r="Q25" s="99">
        <f t="shared" si="38"/>
        <v>78998.804499999998</v>
      </c>
      <c r="R25" s="99">
        <f t="shared" si="39"/>
        <v>9957832.5</v>
      </c>
      <c r="S25" s="99">
        <f t="shared" si="40"/>
        <v>11849820.674999999</v>
      </c>
      <c r="T25" s="76" t="s">
        <v>1378</v>
      </c>
      <c r="U25" s="100">
        <v>83949.58</v>
      </c>
      <c r="V25" s="101">
        <f t="shared" si="41"/>
        <v>15950.4202</v>
      </c>
      <c r="W25" s="101">
        <f t="shared" si="42"/>
        <v>99900.000200000009</v>
      </c>
      <c r="X25" s="101">
        <f t="shared" si="43"/>
        <v>12592437</v>
      </c>
      <c r="Y25" s="101">
        <f t="shared" si="44"/>
        <v>14985000.030000001</v>
      </c>
      <c r="Z25" s="102">
        <f t="shared" si="45"/>
        <v>89933</v>
      </c>
      <c r="AA25" s="102">
        <f t="shared" si="46"/>
        <v>13489950</v>
      </c>
      <c r="AB25" s="103">
        <f t="shared" si="47"/>
        <v>1572615</v>
      </c>
      <c r="AC25" s="77">
        <f t="shared" si="48"/>
        <v>0.1165767849398997</v>
      </c>
      <c r="AD25" s="390"/>
      <c r="AF25" s="7" t="e">
        <f>IF(C25="","",VLOOKUP(C25,listaBolsa!$D$2:$BB$276,51,0))</f>
        <v>#N/A</v>
      </c>
      <c r="BG25" s="7">
        <v>16</v>
      </c>
      <c r="CA25" s="7" t="e">
        <f>VLOOKUP(C25,listaBolsa!$D$2:$BA$1248,1,0)</f>
        <v>#N/A</v>
      </c>
      <c r="CB25" s="7" t="e">
        <f>VLOOKUP(C25,listaBolsa!$D$2:$BA$1248,2,0)</f>
        <v>#N/A</v>
      </c>
      <c r="CC25" s="7" t="e">
        <f>VLOOKUP(C25,listaBolsa!$D$2:$BA$1248,10,0)</f>
        <v>#N/A</v>
      </c>
      <c r="CD25" s="7" t="e">
        <f>VLOOKUP(C25,listaBolsa!$D$2:$BA$1248,14,0)</f>
        <v>#N/A</v>
      </c>
      <c r="CE25" s="7" t="e">
        <f>VLOOKUP(C25,listaBolsa!$D$2:$BA$1248,23,0)</f>
        <v>#N/A</v>
      </c>
      <c r="CF25" s="7" t="e">
        <f>VLOOKUP(C25,listaBolsa!$D$2:$BA$1248,29,0)</f>
        <v>#N/A</v>
      </c>
      <c r="CG25" s="7" t="e">
        <f>VLOOKUP(C25,listaBolsa!$D$2:$BA$1248,36,0)</f>
        <v>#N/A</v>
      </c>
      <c r="CH25" s="7" t="e">
        <f>VLOOKUP(C25,listaBolsa!$D$2:$BA$1248,40,0)</f>
        <v>#N/A</v>
      </c>
      <c r="CI25" s="7" t="e">
        <f>VLOOKUP(C25,listaBolsa!$D$2:$BA$1248,48,0)</f>
        <v>#N/A</v>
      </c>
      <c r="CJ25" s="7" t="e">
        <f t="shared" si="17"/>
        <v>#N/A</v>
      </c>
      <c r="CK25" s="7" t="e">
        <f t="shared" si="18"/>
        <v>#N/A</v>
      </c>
      <c r="CL25" s="7" t="e">
        <f t="shared" si="19"/>
        <v>#N/A</v>
      </c>
      <c r="CM25" s="7" t="e">
        <f t="shared" si="20"/>
        <v>#N/A</v>
      </c>
      <c r="CN25" s="7" t="e">
        <f t="shared" si="21"/>
        <v>#N/A</v>
      </c>
      <c r="CO25" s="7" t="e">
        <f t="shared" si="22"/>
        <v>#N/A</v>
      </c>
      <c r="CP25" s="7" t="e">
        <f t="shared" si="23"/>
        <v>#N/A</v>
      </c>
      <c r="CQ25" s="7" t="e">
        <f t="shared" si="24"/>
        <v>#N/A</v>
      </c>
      <c r="CR25" s="7" t="e">
        <f t="shared" si="25"/>
        <v>#N/A</v>
      </c>
    </row>
    <row r="26" spans="1:96" s="7" customFormat="1" ht="96">
      <c r="A26" s="75">
        <f t="shared" si="26"/>
        <v>17</v>
      </c>
      <c r="B26" s="210" t="s">
        <v>1363</v>
      </c>
      <c r="C26" s="205" t="s">
        <v>1379</v>
      </c>
      <c r="D26" s="205" t="s">
        <v>1380</v>
      </c>
      <c r="E26" s="211" t="s">
        <v>185</v>
      </c>
      <c r="F26" s="207">
        <v>500</v>
      </c>
      <c r="G26" s="205" t="s">
        <v>186</v>
      </c>
      <c r="H26" s="80" t="s">
        <v>1381</v>
      </c>
      <c r="I26" s="96">
        <v>35399</v>
      </c>
      <c r="J26" s="97">
        <f>I26*8%</f>
        <v>2831.92</v>
      </c>
      <c r="K26" s="97">
        <f t="shared" si="35"/>
        <v>38230.92</v>
      </c>
      <c r="L26" s="97">
        <f t="shared" si="36"/>
        <v>17699500</v>
      </c>
      <c r="M26" s="97">
        <f t="shared" si="37"/>
        <v>19115460</v>
      </c>
      <c r="N26" s="81" t="s">
        <v>1382</v>
      </c>
      <c r="O26" s="98">
        <v>26000</v>
      </c>
      <c r="P26" s="99">
        <f t="shared" si="50"/>
        <v>4940</v>
      </c>
      <c r="Q26" s="99">
        <f t="shared" si="38"/>
        <v>30940</v>
      </c>
      <c r="R26" s="99">
        <f t="shared" si="39"/>
        <v>13000000</v>
      </c>
      <c r="S26" s="99">
        <f t="shared" si="40"/>
        <v>15470000</v>
      </c>
      <c r="T26" s="76" t="s">
        <v>1383</v>
      </c>
      <c r="U26" s="100">
        <v>24500</v>
      </c>
      <c r="V26" s="101">
        <f>U26*8%</f>
        <v>1960</v>
      </c>
      <c r="W26" s="101">
        <f t="shared" si="42"/>
        <v>26460</v>
      </c>
      <c r="X26" s="101">
        <f t="shared" si="43"/>
        <v>12250000</v>
      </c>
      <c r="Y26" s="101">
        <f t="shared" si="44"/>
        <v>13230000</v>
      </c>
      <c r="Z26" s="102">
        <f t="shared" si="45"/>
        <v>31877</v>
      </c>
      <c r="AA26" s="102">
        <f t="shared" si="46"/>
        <v>15938500</v>
      </c>
      <c r="AB26" s="103">
        <f t="shared" si="47"/>
        <v>2970567</v>
      </c>
      <c r="AC26" s="77">
        <f t="shared" si="48"/>
        <v>0.18637682341500142</v>
      </c>
      <c r="AD26" s="5"/>
      <c r="AF26" s="7" t="e">
        <f>IF(C26="","",VLOOKUP(C26,listaBolsa!$D$2:$BB$276,51,0))</f>
        <v>#N/A</v>
      </c>
      <c r="BG26" s="7">
        <v>17</v>
      </c>
      <c r="CA26" s="7" t="e">
        <f>VLOOKUP(C26,listaBolsa!$D$2:$BA$1248,1,0)</f>
        <v>#N/A</v>
      </c>
      <c r="CB26" s="7" t="e">
        <f>VLOOKUP(C26,listaBolsa!$D$2:$BA$1248,2,0)</f>
        <v>#N/A</v>
      </c>
      <c r="CC26" s="7" t="e">
        <f>VLOOKUP(C26,listaBolsa!$D$2:$BA$1248,10,0)</f>
        <v>#N/A</v>
      </c>
      <c r="CD26" s="7" t="e">
        <f>VLOOKUP(C26,listaBolsa!$D$2:$BA$1248,14,0)</f>
        <v>#N/A</v>
      </c>
      <c r="CE26" s="7" t="e">
        <f>VLOOKUP(C26,listaBolsa!$D$2:$BA$1248,23,0)</f>
        <v>#N/A</v>
      </c>
      <c r="CF26" s="7" t="e">
        <f>VLOOKUP(C26,listaBolsa!$D$2:$BA$1248,29,0)</f>
        <v>#N/A</v>
      </c>
      <c r="CG26" s="7" t="e">
        <f>VLOOKUP(C26,listaBolsa!$D$2:$BA$1248,36,0)</f>
        <v>#N/A</v>
      </c>
      <c r="CH26" s="7" t="e">
        <f>VLOOKUP(C26,listaBolsa!$D$2:$BA$1248,40,0)</f>
        <v>#N/A</v>
      </c>
      <c r="CI26" s="7" t="e">
        <f>VLOOKUP(C26,listaBolsa!$D$2:$BA$1248,48,0)</f>
        <v>#N/A</v>
      </c>
      <c r="CJ26" s="7" t="e">
        <f t="shared" si="17"/>
        <v>#N/A</v>
      </c>
      <c r="CK26" s="7" t="e">
        <f t="shared" si="18"/>
        <v>#N/A</v>
      </c>
      <c r="CL26" s="7" t="e">
        <f t="shared" si="19"/>
        <v>#N/A</v>
      </c>
      <c r="CM26" s="7" t="e">
        <f t="shared" si="20"/>
        <v>#N/A</v>
      </c>
      <c r="CN26" s="7" t="e">
        <f t="shared" si="21"/>
        <v>#N/A</v>
      </c>
      <c r="CO26" s="7" t="e">
        <f t="shared" si="22"/>
        <v>#N/A</v>
      </c>
      <c r="CP26" s="7" t="e">
        <f t="shared" si="23"/>
        <v>#N/A</v>
      </c>
      <c r="CQ26" s="7" t="e">
        <f t="shared" si="24"/>
        <v>#N/A</v>
      </c>
      <c r="CR26" s="7" t="e">
        <f t="shared" si="25"/>
        <v>#N/A</v>
      </c>
    </row>
    <row r="27" spans="1:96" s="7" customFormat="1" ht="105">
      <c r="A27" s="75">
        <f t="shared" si="26"/>
        <v>18</v>
      </c>
      <c r="B27" s="204" t="s">
        <v>1363</v>
      </c>
      <c r="C27" s="205" t="s">
        <v>952</v>
      </c>
      <c r="D27" s="205" t="s">
        <v>953</v>
      </c>
      <c r="E27" s="206" t="s">
        <v>185</v>
      </c>
      <c r="F27" s="207">
        <v>10</v>
      </c>
      <c r="G27" s="205" t="s">
        <v>288</v>
      </c>
      <c r="H27" s="80" t="str">
        <f>IF(C27="","",VLOOKUP(C27,listaBolsa!$D$2:$W$1118,10,0))</f>
        <v xml:space="preserve">JAC PRADO PINZON </v>
      </c>
      <c r="I27" s="96">
        <f>IF(C27="","",VLOOKUP(C27,listaBolsa!$D$2:$W$1118,14,0))</f>
        <v>302522</v>
      </c>
      <c r="J27" s="97">
        <f t="shared" si="49"/>
        <v>57479.18</v>
      </c>
      <c r="K27" s="97">
        <f t="shared" si="35"/>
        <v>360001.18</v>
      </c>
      <c r="L27" s="97">
        <f t="shared" si="36"/>
        <v>3025220</v>
      </c>
      <c r="M27" s="97">
        <f t="shared" si="37"/>
        <v>3600011.8</v>
      </c>
      <c r="N27" s="81" t="str">
        <f>IF(C27="","",VLOOKUP(C27,listaBolsa!$D$2:$AZ$1276,23,0))</f>
        <v>JAC URBANIZACION EL LAGUITO DE SUBA</v>
      </c>
      <c r="O27" s="98">
        <f>IF(C27="","",VLOOKUP(C27,listaBolsa!$D$2:$AZ$1276,27,0))</f>
        <v>361345</v>
      </c>
      <c r="P27" s="99">
        <f t="shared" si="50"/>
        <v>68655.55</v>
      </c>
      <c r="Q27" s="99">
        <f t="shared" si="38"/>
        <v>430000.55</v>
      </c>
      <c r="R27" s="99">
        <f t="shared" si="39"/>
        <v>3613450</v>
      </c>
      <c r="S27" s="99">
        <f t="shared" si="40"/>
        <v>4300005.5</v>
      </c>
      <c r="T27" s="76"/>
      <c r="U27" s="100"/>
      <c r="V27" s="101"/>
      <c r="W27" s="101"/>
      <c r="X27" s="101"/>
      <c r="Y27" s="101"/>
      <c r="Z27" s="102">
        <f t="shared" si="45"/>
        <v>395001</v>
      </c>
      <c r="AA27" s="102">
        <f t="shared" si="46"/>
        <v>3950010</v>
      </c>
      <c r="AB27" s="103">
        <f t="shared" si="47"/>
        <v>494970</v>
      </c>
      <c r="AC27" s="77">
        <f t="shared" si="48"/>
        <v>0.12530854352267462</v>
      </c>
      <c r="AD27" s="5"/>
      <c r="AF27" s="7">
        <f>IF(C27="","",VLOOKUP(C27,listaBolsa!$D$2:$BB$276,51,0))</f>
        <v>0</v>
      </c>
      <c r="BG27" s="7">
        <v>18</v>
      </c>
      <c r="CA27" s="7" t="str">
        <f>VLOOKUP(C27,listaBolsa!$D$2:$BA$1248,1,0)</f>
        <v>Salón - Espacio Apto para 50 personas (jornada completa más equipos audiovisuales)</v>
      </c>
      <c r="CB27" s="7" t="str">
        <f>VLOOKUP(C27,listaBolsa!$D$2:$BA$1248,2,0)</f>
        <v>Espacio físico para 50 personas con baño, sillas y mesas, ubicado en la localidad de Suba, con disponibilidad de espacio exterior para desarrollo de actividades
Dotado con equipo de computo, video beam y sonido
Jornada de 8 horas</v>
      </c>
      <c r="CC27" s="7" t="str">
        <f>VLOOKUP(C27,listaBolsa!$D$2:$BA$1248,10,0)</f>
        <v xml:space="preserve">JAC PRADO PINZON </v>
      </c>
      <c r="CD27" s="7">
        <f>VLOOKUP(C27,listaBolsa!$D$2:$BA$1248,14,0)</f>
        <v>302522</v>
      </c>
      <c r="CE27" s="7" t="str">
        <f>VLOOKUP(C27,listaBolsa!$D$2:$BA$1248,23,0)</f>
        <v>JAC URBANIZACION EL LAGUITO DE SUBA</v>
      </c>
      <c r="CF27" s="7">
        <f>VLOOKUP(C27,listaBolsa!$D$2:$BA$1248,29,0)</f>
        <v>430000.55</v>
      </c>
      <c r="CG27" s="7">
        <f>VLOOKUP(C27,listaBolsa!$D$2:$BA$1248,36,0)</f>
        <v>0</v>
      </c>
      <c r="CH27" s="7">
        <f>VLOOKUP(C27,listaBolsa!$D$2:$BA$1248,40,0)</f>
        <v>0</v>
      </c>
      <c r="CI27" s="7">
        <f>VLOOKUP(C27,listaBolsa!$D$2:$BA$1248,48,0)</f>
        <v>0.12530854352267462</v>
      </c>
      <c r="CJ27" s="7" t="b">
        <f t="shared" si="17"/>
        <v>1</v>
      </c>
      <c r="CK27" s="7" t="b">
        <f t="shared" si="18"/>
        <v>1</v>
      </c>
      <c r="CL27" s="7" t="b">
        <f t="shared" si="19"/>
        <v>1</v>
      </c>
      <c r="CM27" s="7" t="b">
        <f t="shared" si="20"/>
        <v>1</v>
      </c>
      <c r="CN27" s="7" t="b">
        <f t="shared" si="21"/>
        <v>1</v>
      </c>
      <c r="CO27" s="7" t="b">
        <f t="shared" si="22"/>
        <v>0</v>
      </c>
      <c r="CP27" s="7" t="b">
        <f t="shared" si="23"/>
        <v>1</v>
      </c>
      <c r="CQ27" s="7" t="b">
        <f t="shared" si="24"/>
        <v>1</v>
      </c>
      <c r="CR27" s="7" t="b">
        <f t="shared" si="25"/>
        <v>1</v>
      </c>
    </row>
    <row r="28" spans="1:96" s="7" customFormat="1" ht="405">
      <c r="A28" s="75">
        <f t="shared" si="26"/>
        <v>20</v>
      </c>
      <c r="B28" s="204" t="s">
        <v>1363</v>
      </c>
      <c r="C28" s="205" t="s">
        <v>451</v>
      </c>
      <c r="D28" s="205" t="s">
        <v>1384</v>
      </c>
      <c r="E28" s="206" t="s">
        <v>255</v>
      </c>
      <c r="F28" s="207">
        <v>1</v>
      </c>
      <c r="G28" s="205" t="s">
        <v>288</v>
      </c>
      <c r="H28" s="80"/>
      <c r="I28" s="96"/>
      <c r="J28" s="97"/>
      <c r="K28" s="97"/>
      <c r="L28" s="97"/>
      <c r="M28" s="97"/>
      <c r="N28" s="81" t="str">
        <f>IF(C28="","",VLOOKUP(C28,listaBolsa!$D$2:$AZ$1276,23,0))</f>
        <v>Estimación de precios con base en el proceso FDLSUBA-LP-013-2025 (140689) – Contrato 1000 – 2025, indexando el incremento de precios en el mercado con base en el Índice de Precios al Consumidor (IPC) para el mes de marzo de 2026, el cual fue de 5,56%.</v>
      </c>
      <c r="O28" s="98" t="str">
        <f>IF(C28="","",VLOOKUP(C28,listaBolsa!$D$2:$AZ$1276,27,0))</f>
        <v>OPERADOR LOGÍSTICO</v>
      </c>
      <c r="P28" s="240" t="s">
        <v>1385</v>
      </c>
      <c r="Q28" s="99">
        <v>2300276</v>
      </c>
      <c r="R28" s="99">
        <v>437053</v>
      </c>
      <c r="S28" s="99">
        <v>2737329</v>
      </c>
      <c r="T28" s="76" t="str">
        <f>IF(C28="","",VLOOKUP(C28,listaBolsa!$D$2:$BB$1276,36,0))</f>
        <v>FUNCAS</v>
      </c>
      <c r="U28" s="100">
        <f>IF(C28="","",VLOOKUP(C28,listaBolsa!$D$2:$BB$1276,40,0))</f>
        <v>2233596</v>
      </c>
      <c r="V28" s="101">
        <f t="shared" si="41"/>
        <v>424383.24</v>
      </c>
      <c r="W28" s="101">
        <f t="shared" si="42"/>
        <v>2657979.2400000002</v>
      </c>
      <c r="X28" s="101">
        <f t="shared" si="43"/>
        <v>2233596</v>
      </c>
      <c r="Y28" s="101">
        <f t="shared" si="44"/>
        <v>2657979.2400000002</v>
      </c>
      <c r="Z28" s="102">
        <f t="shared" si="45"/>
        <v>2479128</v>
      </c>
      <c r="AA28" s="102">
        <f t="shared" si="46"/>
        <v>2479128</v>
      </c>
      <c r="AB28" s="103"/>
      <c r="AC28" s="77">
        <f t="shared" si="48"/>
        <v>0</v>
      </c>
      <c r="AD28" s="5"/>
      <c r="AF28" s="7">
        <f>IF(C28="","",VLOOKUP(C28,listaBolsa!$D$2:$BB$276,51,0))</f>
        <v>0</v>
      </c>
      <c r="BG28" s="7">
        <v>20</v>
      </c>
      <c r="CA28" s="7" t="str">
        <f>VLOOKUP(C28,listaBolsa!$D$2:$BA$1248,1,0)</f>
        <v>Auditorio para 100 personas jornada completa</v>
      </c>
      <c r="CB28" s="7" t="str">
        <f>VLOOKUP(C28,listaBolsa!$D$2:$BA$1248,2,0)</f>
        <v>Alquiler salón de conferencias
Jornada completa
Capacidad para 100 personas.  
- sillas tapizadas
- Sistema de sonido, computador portátil y video beam
- 1 tablero
- Baños equipados (Jabón, Papel y Papeleras)
-Accesos para personas con discapacidad
-Servicio de Vigilancia y aseo</v>
      </c>
      <c r="CC28" s="7">
        <f>VLOOKUP(C28,listaBolsa!$D$2:$BA$1248,10,0)</f>
        <v>0</v>
      </c>
      <c r="CD28" s="7" t="str">
        <f>VLOOKUP(C28,listaBolsa!$D$2:$BA$1248,14,0)</f>
        <v> </v>
      </c>
      <c r="CE28" s="7" t="str">
        <f>VLOOKUP(C28,listaBolsa!$D$2:$BA$1248,23,0)</f>
        <v>Estimación de precios con base en el proceso FDLSUBA-LP-013-2025 (140689) – Contrato 1000 – 2025, indexando el incremento de precios en el mercado con base en el Índice de Precios al Consumidor (IPC) para el mes de marzo de 2026, el cual fue de 5,56%.</v>
      </c>
      <c r="CF28" s="7">
        <f>VLOOKUP(C28,listaBolsa!$D$2:$BA$1248,29,0)</f>
        <v>2300276.4705882352</v>
      </c>
      <c r="CG28" s="7" t="str">
        <f>VLOOKUP(C28,listaBolsa!$D$2:$BA$1248,36,0)</f>
        <v>FUNCAS</v>
      </c>
      <c r="CH28" s="7">
        <f>VLOOKUP(C28,listaBolsa!$D$2:$BA$1248,40,0)</f>
        <v>2233596</v>
      </c>
      <c r="CI28" s="7">
        <f>VLOOKUP(C28,listaBolsa!$D$2:$BA$1248,48,0)</f>
        <v>2.0799999999999999E-2</v>
      </c>
      <c r="CJ28" s="7" t="b">
        <f t="shared" si="17"/>
        <v>1</v>
      </c>
      <c r="CK28" s="7" t="b">
        <f t="shared" si="18"/>
        <v>0</v>
      </c>
      <c r="CL28" s="7" t="b">
        <f t="shared" si="19"/>
        <v>1</v>
      </c>
      <c r="CM28" s="7" t="b">
        <f t="shared" si="20"/>
        <v>0</v>
      </c>
      <c r="CN28" s="7" t="b">
        <f t="shared" si="21"/>
        <v>1</v>
      </c>
      <c r="CO28" s="7" t="b">
        <f t="shared" si="22"/>
        <v>0</v>
      </c>
      <c r="CP28" s="7" t="b">
        <f t="shared" si="23"/>
        <v>1</v>
      </c>
      <c r="CQ28" s="7" t="b">
        <f t="shared" si="24"/>
        <v>1</v>
      </c>
      <c r="CR28" s="7" t="b">
        <f t="shared" si="25"/>
        <v>0</v>
      </c>
    </row>
    <row r="29" spans="1:96" s="7" customFormat="1" ht="405">
      <c r="A29" s="75">
        <f t="shared" si="26"/>
        <v>21</v>
      </c>
      <c r="B29" s="204" t="s">
        <v>1363</v>
      </c>
      <c r="C29" s="205" t="s">
        <v>663</v>
      </c>
      <c r="D29" s="205" t="s">
        <v>664</v>
      </c>
      <c r="E29" s="206" t="s">
        <v>255</v>
      </c>
      <c r="F29" s="207">
        <v>1</v>
      </c>
      <c r="G29" s="205" t="s">
        <v>1116</v>
      </c>
      <c r="H29" s="80"/>
      <c r="I29" s="96"/>
      <c r="J29" s="97"/>
      <c r="K29" s="97"/>
      <c r="L29" s="97"/>
      <c r="M29" s="97"/>
      <c r="N29" s="81" t="str">
        <f>IF(C29="","",VLOOKUP(C29,listaBolsa!$D$2:$AZ$1276,23,0))</f>
        <v>Estimación de precios con base en el proceso FDLSUBA-LP-013-2025 (140689) – Contrato 1000 – 2025, indexando el incremento de precios en el mercado con base en el Índice de Precios al Consumidor (IPC) para el mes de marzo de 2026, el cual fue de 5,56%.</v>
      </c>
      <c r="O29" s="98" t="str">
        <f>IF(C29="","",VLOOKUP(C29,listaBolsa!$D$2:$AZ$1276,27,0))</f>
        <v>OPERADOR LOGÍSTICO</v>
      </c>
      <c r="P29" s="240" t="s">
        <v>1385</v>
      </c>
      <c r="Q29" s="99">
        <v>432996</v>
      </c>
      <c r="R29" s="99">
        <v>82269</v>
      </c>
      <c r="S29" s="99">
        <f t="shared" si="40"/>
        <v>432996</v>
      </c>
      <c r="T29" s="76" t="str">
        <f>IF(C29="","",VLOOKUP(C29,listaBolsa!$D$2:$BB$1276,36,0))</f>
        <v>FUNCAS</v>
      </c>
      <c r="U29" s="100">
        <f>IF(C29="","",VLOOKUP(C29,listaBolsa!$D$2:$BB$1276,40,0))</f>
        <v>426597</v>
      </c>
      <c r="V29" s="101">
        <f t="shared" si="41"/>
        <v>81053.430000000008</v>
      </c>
      <c r="W29" s="101">
        <f t="shared" si="42"/>
        <v>507650.43</v>
      </c>
      <c r="X29" s="101">
        <f t="shared" si="43"/>
        <v>426597</v>
      </c>
      <c r="Y29" s="101">
        <f t="shared" si="44"/>
        <v>507650.43</v>
      </c>
      <c r="Z29" s="102">
        <f t="shared" si="45"/>
        <v>470323</v>
      </c>
      <c r="AA29" s="102">
        <f t="shared" si="46"/>
        <v>470323</v>
      </c>
      <c r="AB29" s="103">
        <f t="shared" si="47"/>
        <v>52789</v>
      </c>
      <c r="AC29" s="77">
        <f t="shared" si="48"/>
        <v>0.11223988620586278</v>
      </c>
      <c r="AD29" s="5"/>
      <c r="AF29" s="7">
        <f>IF(C29="","",VLOOKUP(C29,listaBolsa!$D$2:$BB$276,51,0))</f>
        <v>0</v>
      </c>
      <c r="BG29" s="7">
        <v>21</v>
      </c>
      <c r="CA29" s="7" t="str">
        <f>VLOOKUP(C29,listaBolsa!$D$2:$BA$1248,1,0)</f>
        <v>Estación de café tipo 1</v>
      </c>
      <c r="CB29" s="7" t="str">
        <f>VLOOKUP(C29,listaBolsa!$D$2:$BA$1248,2,0)</f>
        <v>Servicio de cafetería para 50 personas (tinto, aromática y agua): Operario + presentación mesa + vasos de cartón bebida caliente 4 oz. + mezclador + azúcar + crema para café. Duración del evento aprox. 6 horas. Transporte incluido</v>
      </c>
      <c r="CC29" s="7">
        <f>VLOOKUP(C29,listaBolsa!$D$2:$BA$1248,10,0)</f>
        <v>0</v>
      </c>
      <c r="CD29" s="7" t="str">
        <f>VLOOKUP(C29,listaBolsa!$D$2:$BA$1248,14,0)</f>
        <v> </v>
      </c>
      <c r="CE29" s="7" t="str">
        <f>VLOOKUP(C29,listaBolsa!$D$2:$BA$1248,23,0)</f>
        <v>Estimación de precios con base en el proceso FDLSUBA-LP-013-2025 (140689) – Contrato 1000 – 2025, indexando el incremento de precios en el mercado con base en el Índice de Precios al Consumidor (IPC) para el mes de marzo de 2026, el cual fue de 5,56%.</v>
      </c>
      <c r="CF29" s="7">
        <f>VLOOKUP(C29,listaBolsa!$D$2:$BA$1248,29,0)</f>
        <v>432995.79831932776</v>
      </c>
      <c r="CG29" s="7" t="str">
        <f>VLOOKUP(C29,listaBolsa!$D$2:$BA$1248,36,0)</f>
        <v>FUNCAS</v>
      </c>
      <c r="CH29" s="7">
        <f>VLOOKUP(C29,listaBolsa!$D$2:$BA$1248,40,0)</f>
        <v>426597</v>
      </c>
      <c r="CI29" s="7">
        <f>VLOOKUP(C29,listaBolsa!$D$2:$BA$1248,48,0)</f>
        <v>1.0500000000000001E-2</v>
      </c>
      <c r="CJ29" s="7" t="b">
        <f t="shared" si="17"/>
        <v>1</v>
      </c>
      <c r="CK29" s="7" t="b">
        <f t="shared" si="18"/>
        <v>1</v>
      </c>
      <c r="CL29" s="7" t="b">
        <f t="shared" si="19"/>
        <v>1</v>
      </c>
      <c r="CM29" s="7" t="b">
        <f t="shared" si="20"/>
        <v>0</v>
      </c>
      <c r="CN29" s="7" t="b">
        <f t="shared" si="21"/>
        <v>1</v>
      </c>
      <c r="CO29" s="7" t="b">
        <f t="shared" si="22"/>
        <v>0</v>
      </c>
      <c r="CP29" s="7" t="b">
        <f t="shared" si="23"/>
        <v>1</v>
      </c>
      <c r="CQ29" s="7" t="b">
        <f t="shared" si="24"/>
        <v>1</v>
      </c>
      <c r="CR29" s="7" t="b">
        <f t="shared" si="25"/>
        <v>0</v>
      </c>
    </row>
    <row r="30" spans="1:96" s="7" customFormat="1" ht="360">
      <c r="A30" s="75">
        <f t="shared" si="26"/>
        <v>23</v>
      </c>
      <c r="B30" s="204" t="s">
        <v>1363</v>
      </c>
      <c r="C30" s="205" t="s">
        <v>1386</v>
      </c>
      <c r="D30" s="205" t="s">
        <v>1387</v>
      </c>
      <c r="E30" s="206" t="s">
        <v>270</v>
      </c>
      <c r="F30" s="207">
        <v>50</v>
      </c>
      <c r="G30" s="205" t="s">
        <v>1116</v>
      </c>
      <c r="H30" s="80" t="s">
        <v>1388</v>
      </c>
      <c r="I30" s="96">
        <v>3550000</v>
      </c>
      <c r="J30" s="97"/>
      <c r="K30" s="97">
        <f t="shared" si="35"/>
        <v>3550000</v>
      </c>
      <c r="L30" s="97">
        <f t="shared" si="36"/>
        <v>177500000</v>
      </c>
      <c r="M30" s="97">
        <f t="shared" si="37"/>
        <v>177500000</v>
      </c>
      <c r="N30" s="81" t="s">
        <v>1389</v>
      </c>
      <c r="O30" s="98">
        <v>2572500</v>
      </c>
      <c r="P30" s="99"/>
      <c r="Q30" s="99">
        <f t="shared" si="38"/>
        <v>2572500</v>
      </c>
      <c r="R30" s="99">
        <f t="shared" si="39"/>
        <v>128625000</v>
      </c>
      <c r="S30" s="99">
        <f t="shared" si="40"/>
        <v>128625000</v>
      </c>
      <c r="T30" s="76" t="s">
        <v>1390</v>
      </c>
      <c r="U30" s="100">
        <v>3672000</v>
      </c>
      <c r="V30" s="101">
        <f t="shared" si="41"/>
        <v>697680</v>
      </c>
      <c r="W30" s="101">
        <f t="shared" si="42"/>
        <v>4369680</v>
      </c>
      <c r="X30" s="101">
        <f t="shared" si="43"/>
        <v>183600000</v>
      </c>
      <c r="Y30" s="101">
        <f t="shared" si="44"/>
        <v>218484000</v>
      </c>
      <c r="Z30" s="102">
        <f t="shared" si="45"/>
        <v>3497393</v>
      </c>
      <c r="AA30" s="102">
        <f t="shared" si="46"/>
        <v>174869650</v>
      </c>
      <c r="AB30" s="103">
        <f t="shared" si="47"/>
        <v>44987209</v>
      </c>
      <c r="AC30" s="389">
        <f t="shared" si="48"/>
        <v>0.25726138869723819</v>
      </c>
      <c r="AD30" s="5"/>
      <c r="AF30" s="7" t="e">
        <f>IF(C30="","",VLOOKUP(C30,listaBolsa!$D$2:$BB$276,51,0))</f>
        <v>#N/A</v>
      </c>
      <c r="BG30" s="7">
        <v>23</v>
      </c>
      <c r="CA30" s="7" t="e">
        <f>VLOOKUP(C30,listaBolsa!$D$2:$BA$1248,1,0)</f>
        <v>#N/A</v>
      </c>
      <c r="CB30" s="7" t="e">
        <f>VLOOKUP(C30,listaBolsa!$D$2:$BA$1248,2,0)</f>
        <v>#N/A</v>
      </c>
      <c r="CC30" s="7" t="e">
        <f>VLOOKUP(C30,listaBolsa!$D$2:$BA$1248,10,0)</f>
        <v>#N/A</v>
      </c>
      <c r="CD30" s="7" t="e">
        <f>VLOOKUP(C30,listaBolsa!$D$2:$BA$1248,14,0)</f>
        <v>#N/A</v>
      </c>
      <c r="CE30" s="7" t="e">
        <f>VLOOKUP(C30,listaBolsa!$D$2:$BA$1248,23,0)</f>
        <v>#N/A</v>
      </c>
      <c r="CF30" s="7" t="e">
        <f>VLOOKUP(C30,listaBolsa!$D$2:$BA$1248,29,0)</f>
        <v>#N/A</v>
      </c>
      <c r="CG30" s="7" t="e">
        <f>VLOOKUP(C30,listaBolsa!$D$2:$BA$1248,36,0)</f>
        <v>#N/A</v>
      </c>
      <c r="CH30" s="7" t="e">
        <f>VLOOKUP(C30,listaBolsa!$D$2:$BA$1248,40,0)</f>
        <v>#N/A</v>
      </c>
      <c r="CI30" s="7" t="e">
        <f>VLOOKUP(C30,listaBolsa!$D$2:$BA$1248,48,0)</f>
        <v>#N/A</v>
      </c>
      <c r="CJ30" s="7" t="e">
        <f t="shared" si="17"/>
        <v>#N/A</v>
      </c>
      <c r="CK30" s="7" t="e">
        <f t="shared" si="18"/>
        <v>#N/A</v>
      </c>
      <c r="CL30" s="7" t="e">
        <f t="shared" si="19"/>
        <v>#N/A</v>
      </c>
      <c r="CM30" s="7" t="e">
        <f t="shared" si="20"/>
        <v>#N/A</v>
      </c>
      <c r="CN30" s="7" t="e">
        <f t="shared" si="21"/>
        <v>#N/A</v>
      </c>
      <c r="CO30" s="7" t="e">
        <f t="shared" si="22"/>
        <v>#N/A</v>
      </c>
      <c r="CP30" s="7" t="e">
        <f t="shared" si="23"/>
        <v>#N/A</v>
      </c>
      <c r="CQ30" s="7" t="e">
        <f t="shared" si="24"/>
        <v>#N/A</v>
      </c>
      <c r="CR30" s="7" t="e">
        <f t="shared" si="25"/>
        <v>#N/A</v>
      </c>
    </row>
    <row r="31" spans="1:96" s="7" customFormat="1" ht="93">
      <c r="A31" s="75">
        <f t="shared" si="26"/>
        <v>24</v>
      </c>
      <c r="B31" s="210" t="s">
        <v>1391</v>
      </c>
      <c r="C31" s="205" t="s">
        <v>1392</v>
      </c>
      <c r="D31" s="205" t="s">
        <v>1393</v>
      </c>
      <c r="E31" s="211" t="s">
        <v>185</v>
      </c>
      <c r="F31" s="207">
        <v>50</v>
      </c>
      <c r="G31" s="205" t="s">
        <v>186</v>
      </c>
      <c r="H31" s="80"/>
      <c r="I31" s="96"/>
      <c r="J31" s="97"/>
      <c r="K31" s="97"/>
      <c r="L31" s="97"/>
      <c r="M31" s="97"/>
      <c r="N31" s="81"/>
      <c r="O31" s="98"/>
      <c r="P31" s="99"/>
      <c r="Q31" s="99"/>
      <c r="R31" s="99"/>
      <c r="S31" s="99"/>
      <c r="T31" s="76"/>
      <c r="U31" s="100"/>
      <c r="V31" s="101"/>
      <c r="W31" s="101"/>
      <c r="X31" s="101"/>
      <c r="Y31" s="101"/>
      <c r="Z31" s="102"/>
      <c r="AA31" s="102">
        <v>168794040</v>
      </c>
      <c r="AB31" s="103"/>
      <c r="AC31" s="77">
        <f t="shared" si="48"/>
        <v>0</v>
      </c>
      <c r="AD31" s="5"/>
      <c r="AF31" s="7" t="e">
        <f>IF(C31="","",VLOOKUP(C31,listaBolsa!$D$2:$BB$276,51,0))</f>
        <v>#N/A</v>
      </c>
      <c r="BG31" s="7">
        <v>24</v>
      </c>
      <c r="CA31" s="7" t="e">
        <f>VLOOKUP(C31,listaBolsa!$D$2:$BA$1248,1,0)</f>
        <v>#N/A</v>
      </c>
      <c r="CB31" s="7" t="e">
        <f>VLOOKUP(C31,listaBolsa!$D$2:$BA$1248,2,0)</f>
        <v>#N/A</v>
      </c>
      <c r="CC31" s="7" t="e">
        <f>VLOOKUP(C31,listaBolsa!$D$2:$BA$1248,10,0)</f>
        <v>#N/A</v>
      </c>
      <c r="CD31" s="7" t="e">
        <f>VLOOKUP(C31,listaBolsa!$D$2:$BA$1248,14,0)</f>
        <v>#N/A</v>
      </c>
      <c r="CE31" s="7" t="e">
        <f>VLOOKUP(C31,listaBolsa!$D$2:$BA$1248,23,0)</f>
        <v>#N/A</v>
      </c>
      <c r="CF31" s="7" t="e">
        <f>VLOOKUP(C31,listaBolsa!$D$2:$BA$1248,29,0)</f>
        <v>#N/A</v>
      </c>
      <c r="CG31" s="7" t="e">
        <f>VLOOKUP(C31,listaBolsa!$D$2:$BA$1248,36,0)</f>
        <v>#N/A</v>
      </c>
      <c r="CH31" s="7" t="e">
        <f>VLOOKUP(C31,listaBolsa!$D$2:$BA$1248,40,0)</f>
        <v>#N/A</v>
      </c>
      <c r="CI31" s="7" t="e">
        <f>VLOOKUP(C31,listaBolsa!$D$2:$BA$1248,48,0)</f>
        <v>#N/A</v>
      </c>
      <c r="CJ31" s="7" t="e">
        <f t="shared" si="17"/>
        <v>#N/A</v>
      </c>
      <c r="CK31" s="7" t="e">
        <f t="shared" si="18"/>
        <v>#N/A</v>
      </c>
      <c r="CL31" s="7" t="e">
        <f t="shared" si="19"/>
        <v>#N/A</v>
      </c>
      <c r="CM31" s="7" t="e">
        <f t="shared" si="20"/>
        <v>#N/A</v>
      </c>
      <c r="CN31" s="7" t="e">
        <f t="shared" si="21"/>
        <v>#N/A</v>
      </c>
      <c r="CO31" s="7" t="e">
        <f t="shared" si="22"/>
        <v>#N/A</v>
      </c>
      <c r="CP31" s="7" t="e">
        <f t="shared" si="23"/>
        <v>#N/A</v>
      </c>
      <c r="CQ31" s="7" t="e">
        <f t="shared" si="24"/>
        <v>#N/A</v>
      </c>
      <c r="CR31" s="7" t="e">
        <f t="shared" si="25"/>
        <v>#N/A</v>
      </c>
    </row>
    <row r="32" spans="1:96" s="7" customFormat="1" ht="70.5">
      <c r="A32" s="75">
        <f t="shared" si="26"/>
        <v>30</v>
      </c>
      <c r="B32" s="204" t="s">
        <v>1394</v>
      </c>
      <c r="C32" s="205" t="s">
        <v>1076</v>
      </c>
      <c r="D32" s="205" t="s">
        <v>1077</v>
      </c>
      <c r="E32" s="206" t="s">
        <v>1078</v>
      </c>
      <c r="F32" s="207">
        <v>150</v>
      </c>
      <c r="G32" s="205" t="s">
        <v>186</v>
      </c>
      <c r="H32" s="80" t="str">
        <f>IF(C32="","",VLOOKUP(C32,listaBolsa!$D$2:$W$1118,10,0))</f>
        <v>FULL COLOR</v>
      </c>
      <c r="I32" s="96">
        <f>IF(C32="","",VLOOKUP(C32,listaBolsa!$D$2:$W$1118,14,0))</f>
        <v>92436.97478991597</v>
      </c>
      <c r="J32" s="97">
        <f t="shared" ref="J32:J66" si="51">I32*19%</f>
        <v>17563.025210084033</v>
      </c>
      <c r="K32" s="97">
        <f t="shared" ref="K32:K66" si="52">I32+J32</f>
        <v>110000</v>
      </c>
      <c r="L32" s="97">
        <f t="shared" si="36"/>
        <v>13865546.218487395</v>
      </c>
      <c r="M32" s="97">
        <f t="shared" si="37"/>
        <v>16500000</v>
      </c>
      <c r="N32" s="81" t="str">
        <f>IF(C32="","",VLOOKUP(C32,listaBolsa!$D$2:$AZ$1276,23,0))</f>
        <v>INVENTIVA</v>
      </c>
      <c r="O32" s="98">
        <f>IF(C32="","",VLOOKUP(C32,listaBolsa!$D$2:$AZ$1276,27,0))</f>
        <v>120000</v>
      </c>
      <c r="P32" s="99">
        <f t="shared" si="50"/>
        <v>22800</v>
      </c>
      <c r="Q32" s="99">
        <f t="shared" si="38"/>
        <v>142800</v>
      </c>
      <c r="R32" s="99">
        <f t="shared" si="39"/>
        <v>18000000</v>
      </c>
      <c r="S32" s="99">
        <f t="shared" si="40"/>
        <v>21420000</v>
      </c>
      <c r="T32" s="76" t="str">
        <f>IF(C32="","",VLOOKUP(C32,listaBolsa!$D$2:$BB$1276,36,0))</f>
        <v>MARIA CONFLICTO</v>
      </c>
      <c r="U32" s="100">
        <f>IF(C32="","",VLOOKUP(C32,listaBolsa!$D$2:$BB$1276,40,0))</f>
        <v>120000</v>
      </c>
      <c r="V32" s="101">
        <f t="shared" si="41"/>
        <v>22800</v>
      </c>
      <c r="W32" s="101">
        <f t="shared" si="42"/>
        <v>142800</v>
      </c>
      <c r="X32" s="101">
        <f t="shared" si="43"/>
        <v>18000000</v>
      </c>
      <c r="Y32" s="101">
        <f t="shared" si="44"/>
        <v>21420000</v>
      </c>
      <c r="Z32" s="102">
        <f t="shared" si="45"/>
        <v>131867</v>
      </c>
      <c r="AA32" s="102">
        <f t="shared" si="46"/>
        <v>19780050</v>
      </c>
      <c r="AB32" s="103">
        <f t="shared" si="47"/>
        <v>2840563</v>
      </c>
      <c r="AC32" s="77">
        <f t="shared" si="48"/>
        <v>0.14360747318636707</v>
      </c>
      <c r="AD32" s="5"/>
      <c r="AF32" s="7" t="str">
        <f>IF(C32="","",VLOOKUP(C32,listaBolsa!$D$2:$BB$276,51,0))</f>
        <v>Tercer ítem sin IVA</v>
      </c>
      <c r="BG32" s="7">
        <v>30</v>
      </c>
      <c r="CA32" s="7" t="str">
        <f>VLOOKUP(C32,listaBolsa!$D$2:$BA$1248,1,0)</f>
        <v>Volantes media carta 100 Unidades</v>
      </c>
      <c r="CB32" s="7" t="str">
        <f>VLOOKUP(C32,listaBolsa!$D$2:$BA$1248,2,0)</f>
        <v>Tamaño: media carta, tintas: 4 x 4, full color policromía en propalcote 115 gr, refilados y/o materiales similares, con diseño aprobado por la oficina de prensa del FDLS</v>
      </c>
      <c r="CC32" s="7" t="str">
        <f>VLOOKUP(C32,listaBolsa!$D$2:$BA$1248,10,0)</f>
        <v>FULL COLOR</v>
      </c>
      <c r="CD32" s="7">
        <f>VLOOKUP(C32,listaBolsa!$D$2:$BA$1248,14,0)</f>
        <v>92436.97478991597</v>
      </c>
      <c r="CE32" s="7" t="str">
        <f>VLOOKUP(C32,listaBolsa!$D$2:$BA$1248,23,0)</f>
        <v>INVENTIVA</v>
      </c>
      <c r="CF32" s="7">
        <f>VLOOKUP(C32,listaBolsa!$D$2:$BA$1248,29,0)</f>
        <v>142800</v>
      </c>
      <c r="CG32" s="7" t="str">
        <f>VLOOKUP(C32,listaBolsa!$D$2:$BA$1248,36,0)</f>
        <v>MARIA CONFLICTO</v>
      </c>
      <c r="CH32" s="7">
        <f>VLOOKUP(C32,listaBolsa!$D$2:$BA$1248,40,0)</f>
        <v>120000</v>
      </c>
      <c r="CI32" s="7">
        <f>VLOOKUP(C32,listaBolsa!$D$2:$BA$1248,48,0)</f>
        <v>0.13528217467227824</v>
      </c>
      <c r="CJ32" s="7" t="b">
        <f t="shared" si="17"/>
        <v>1</v>
      </c>
      <c r="CK32" s="7" t="b">
        <f t="shared" si="18"/>
        <v>1</v>
      </c>
      <c r="CL32" s="7" t="b">
        <f t="shared" si="19"/>
        <v>1</v>
      </c>
      <c r="CM32" s="7" t="b">
        <f t="shared" si="20"/>
        <v>1</v>
      </c>
      <c r="CN32" s="7" t="b">
        <f t="shared" si="21"/>
        <v>1</v>
      </c>
      <c r="CO32" s="7" t="b">
        <f t="shared" si="22"/>
        <v>0</v>
      </c>
      <c r="CP32" s="7" t="b">
        <f t="shared" si="23"/>
        <v>1</v>
      </c>
      <c r="CQ32" s="7" t="b">
        <f t="shared" si="24"/>
        <v>1</v>
      </c>
      <c r="CR32" s="7" t="b">
        <f t="shared" si="25"/>
        <v>0</v>
      </c>
    </row>
    <row r="33" spans="1:96" s="7" customFormat="1" ht="181.5">
      <c r="A33" s="75">
        <f t="shared" si="26"/>
        <v>31</v>
      </c>
      <c r="B33" s="204" t="s">
        <v>1394</v>
      </c>
      <c r="C33" s="205" t="s">
        <v>1395</v>
      </c>
      <c r="D33" s="205" t="s">
        <v>1396</v>
      </c>
      <c r="E33" s="206" t="s">
        <v>270</v>
      </c>
      <c r="F33" s="207">
        <v>1</v>
      </c>
      <c r="G33" s="205" t="s">
        <v>1116</v>
      </c>
      <c r="H33" s="80"/>
      <c r="I33" s="96"/>
      <c r="J33" s="97"/>
      <c r="K33" s="97"/>
      <c r="L33" s="97"/>
      <c r="M33" s="97"/>
      <c r="N33" s="81"/>
      <c r="O33" s="98"/>
      <c r="P33" s="99"/>
      <c r="Q33" s="99"/>
      <c r="R33" s="99"/>
      <c r="S33" s="99"/>
      <c r="T33" s="76"/>
      <c r="U33" s="100"/>
      <c r="V33" s="101"/>
      <c r="W33" s="101"/>
      <c r="X33" s="101"/>
      <c r="Y33" s="101"/>
      <c r="Z33" s="102"/>
      <c r="AA33" s="102">
        <f>100301214+42453000</f>
        <v>142754214</v>
      </c>
      <c r="AB33" s="103"/>
      <c r="AC33" s="77"/>
      <c r="AD33" s="5"/>
      <c r="AF33" s="7" t="e">
        <f>IF(C33="","",VLOOKUP(C33,listaBolsa!$D$2:$BB$276,51,0))</f>
        <v>#N/A</v>
      </c>
      <c r="BG33" s="7">
        <v>31</v>
      </c>
      <c r="CA33" s="7" t="e">
        <f>VLOOKUP(C33,listaBolsa!$D$2:$BA$1248,1,0)</f>
        <v>#N/A</v>
      </c>
      <c r="CB33" s="7" t="e">
        <f>VLOOKUP(C33,listaBolsa!$D$2:$BA$1248,2,0)</f>
        <v>#N/A</v>
      </c>
      <c r="CC33" s="7" t="e">
        <f>VLOOKUP(C33,listaBolsa!$D$2:$BA$1248,10,0)</f>
        <v>#N/A</v>
      </c>
      <c r="CD33" s="7" t="e">
        <f>VLOOKUP(C33,listaBolsa!$D$2:$BA$1248,14,0)</f>
        <v>#N/A</v>
      </c>
      <c r="CE33" s="7" t="e">
        <f>VLOOKUP(C33,listaBolsa!$D$2:$BA$1248,23,0)</f>
        <v>#N/A</v>
      </c>
      <c r="CF33" s="7" t="e">
        <f>VLOOKUP(C33,listaBolsa!$D$2:$BA$1248,29,0)</f>
        <v>#N/A</v>
      </c>
      <c r="CG33" s="7" t="e">
        <f>VLOOKUP(C33,listaBolsa!$D$2:$BA$1248,36,0)</f>
        <v>#N/A</v>
      </c>
      <c r="CH33" s="7" t="e">
        <f>VLOOKUP(C33,listaBolsa!$D$2:$BA$1248,40,0)</f>
        <v>#N/A</v>
      </c>
      <c r="CI33" s="7" t="e">
        <f>VLOOKUP(C33,listaBolsa!$D$2:$BA$1248,48,0)</f>
        <v>#N/A</v>
      </c>
      <c r="CJ33" s="7" t="e">
        <f t="shared" si="17"/>
        <v>#N/A</v>
      </c>
      <c r="CK33" s="7" t="e">
        <f t="shared" si="18"/>
        <v>#N/A</v>
      </c>
      <c r="CL33" s="7" t="e">
        <f t="shared" si="19"/>
        <v>#N/A</v>
      </c>
      <c r="CM33" s="7" t="e">
        <f t="shared" si="20"/>
        <v>#N/A</v>
      </c>
      <c r="CN33" s="7" t="e">
        <f t="shared" si="21"/>
        <v>#N/A</v>
      </c>
      <c r="CO33" s="7" t="e">
        <f t="shared" si="22"/>
        <v>#N/A</v>
      </c>
      <c r="CP33" s="7" t="e">
        <f t="shared" si="23"/>
        <v>#N/A</v>
      </c>
      <c r="CQ33" s="7" t="e">
        <f t="shared" si="24"/>
        <v>#N/A</v>
      </c>
      <c r="CR33" s="7" t="e">
        <f t="shared" si="25"/>
        <v>#N/A</v>
      </c>
    </row>
    <row r="34" spans="1:96" s="7" customFormat="1" ht="105">
      <c r="A34" s="75">
        <f t="shared" si="26"/>
        <v>32</v>
      </c>
      <c r="B34" s="204" t="s">
        <v>1397</v>
      </c>
      <c r="C34" s="205" t="s">
        <v>952</v>
      </c>
      <c r="D34" s="205" t="s">
        <v>953</v>
      </c>
      <c r="E34" s="206" t="s">
        <v>185</v>
      </c>
      <c r="F34" s="207">
        <v>8</v>
      </c>
      <c r="G34" s="205" t="s">
        <v>288</v>
      </c>
      <c r="H34" s="80" t="str">
        <f>IF(C34="","",VLOOKUP(C34,listaBolsa!$D$2:$W$1118,10,0))</f>
        <v xml:space="preserve">JAC PRADO PINZON </v>
      </c>
      <c r="I34" s="96">
        <f>IF(C34="","",VLOOKUP(C34,listaBolsa!$D$2:$W$1118,14,0))</f>
        <v>302522</v>
      </c>
      <c r="J34" s="97">
        <f t="shared" si="51"/>
        <v>57479.18</v>
      </c>
      <c r="K34" s="97">
        <f t="shared" si="52"/>
        <v>360001.18</v>
      </c>
      <c r="L34" s="97">
        <f t="shared" si="36"/>
        <v>2420176</v>
      </c>
      <c r="M34" s="97">
        <f t="shared" si="37"/>
        <v>2880009.44</v>
      </c>
      <c r="N34" s="81" t="str">
        <f>IF(C34="","",VLOOKUP(C34,listaBolsa!$D$2:$AZ$1276,23,0))</f>
        <v>JAC URBANIZACION EL LAGUITO DE SUBA</v>
      </c>
      <c r="O34" s="98">
        <f>IF(C34="","",VLOOKUP(C34,listaBolsa!$D$2:$AZ$1276,27,0))</f>
        <v>361345</v>
      </c>
      <c r="P34" s="99">
        <f t="shared" si="50"/>
        <v>68655.55</v>
      </c>
      <c r="Q34" s="99">
        <f t="shared" si="38"/>
        <v>430000.55</v>
      </c>
      <c r="R34" s="99">
        <f t="shared" si="39"/>
        <v>2890760</v>
      </c>
      <c r="S34" s="99">
        <f t="shared" si="40"/>
        <v>3440004.4</v>
      </c>
      <c r="T34" s="76"/>
      <c r="U34" s="100"/>
      <c r="V34" s="101"/>
      <c r="W34" s="101"/>
      <c r="X34" s="101"/>
      <c r="Y34" s="101"/>
      <c r="Z34" s="102">
        <f t="shared" si="45"/>
        <v>395001</v>
      </c>
      <c r="AA34" s="102">
        <f t="shared" si="46"/>
        <v>3160008</v>
      </c>
      <c r="AB34" s="103">
        <f t="shared" si="47"/>
        <v>395976</v>
      </c>
      <c r="AC34" s="77">
        <f t="shared" si="48"/>
        <v>0.12530854352267462</v>
      </c>
      <c r="AD34" s="5"/>
      <c r="AF34" s="7">
        <f>IF(C34="","",VLOOKUP(C34,listaBolsa!$D$2:$BB$276,51,0))</f>
        <v>0</v>
      </c>
      <c r="BG34" s="7">
        <v>32</v>
      </c>
      <c r="CA34" s="7" t="str">
        <f>VLOOKUP(C34,listaBolsa!$D$2:$BA$1248,1,0)</f>
        <v>Salón - Espacio Apto para 50 personas (jornada completa más equipos audiovisuales)</v>
      </c>
      <c r="CB34" s="7" t="str">
        <f>VLOOKUP(C34,listaBolsa!$D$2:$BA$1248,2,0)</f>
        <v>Espacio físico para 50 personas con baño, sillas y mesas, ubicado en la localidad de Suba, con disponibilidad de espacio exterior para desarrollo de actividades
Dotado con equipo de computo, video beam y sonido
Jornada de 8 horas</v>
      </c>
      <c r="CC34" s="7" t="str">
        <f>VLOOKUP(C34,listaBolsa!$D$2:$BA$1248,10,0)</f>
        <v xml:space="preserve">JAC PRADO PINZON </v>
      </c>
      <c r="CD34" s="7">
        <f>VLOOKUP(C34,listaBolsa!$D$2:$BA$1248,14,0)</f>
        <v>302522</v>
      </c>
      <c r="CE34" s="7" t="str">
        <f>VLOOKUP(C34,listaBolsa!$D$2:$BA$1248,23,0)</f>
        <v>JAC URBANIZACION EL LAGUITO DE SUBA</v>
      </c>
      <c r="CF34" s="7">
        <f>VLOOKUP(C34,listaBolsa!$D$2:$BA$1248,29,0)</f>
        <v>430000.55</v>
      </c>
      <c r="CG34" s="7">
        <f>VLOOKUP(C34,listaBolsa!$D$2:$BA$1248,36,0)</f>
        <v>0</v>
      </c>
      <c r="CH34" s="7">
        <f>VLOOKUP(C34,listaBolsa!$D$2:$BA$1248,40,0)</f>
        <v>0</v>
      </c>
      <c r="CI34" s="7">
        <f>VLOOKUP(C34,listaBolsa!$D$2:$BA$1248,48,0)</f>
        <v>0.12530854352267462</v>
      </c>
      <c r="CJ34" s="7" t="b">
        <f t="shared" si="17"/>
        <v>1</v>
      </c>
      <c r="CK34" s="7" t="b">
        <f t="shared" si="18"/>
        <v>1</v>
      </c>
      <c r="CL34" s="7" t="b">
        <f t="shared" si="19"/>
        <v>1</v>
      </c>
      <c r="CM34" s="7" t="b">
        <f t="shared" si="20"/>
        <v>1</v>
      </c>
      <c r="CN34" s="7" t="b">
        <f t="shared" si="21"/>
        <v>1</v>
      </c>
      <c r="CO34" s="7" t="b">
        <f t="shared" si="22"/>
        <v>0</v>
      </c>
      <c r="CP34" s="7" t="b">
        <f t="shared" si="23"/>
        <v>1</v>
      </c>
      <c r="CQ34" s="7" t="b">
        <f t="shared" si="24"/>
        <v>1</v>
      </c>
      <c r="CR34" s="7" t="b">
        <f t="shared" si="25"/>
        <v>1</v>
      </c>
    </row>
    <row r="35" spans="1:96" s="7" customFormat="1" ht="150">
      <c r="A35" s="75">
        <f t="shared" si="26"/>
        <v>33</v>
      </c>
      <c r="B35" s="204" t="s">
        <v>1397</v>
      </c>
      <c r="C35" s="205" t="s">
        <v>232</v>
      </c>
      <c r="D35" s="205" t="s">
        <v>1398</v>
      </c>
      <c r="E35" s="206" t="s">
        <v>185</v>
      </c>
      <c r="F35" s="207">
        <v>200</v>
      </c>
      <c r="G35" s="205" t="s">
        <v>186</v>
      </c>
      <c r="H35" s="80" t="str">
        <f>IF(C35="","",VLOOKUP(C35,listaBolsa!$D$2:$W$1118,10,0))</f>
        <v>INVENTIVA</v>
      </c>
      <c r="I35" s="96">
        <f>IF(C35="","",VLOOKUP(C35,listaBolsa!$D$2:$W$1118,14,0))</f>
        <v>26000</v>
      </c>
      <c r="J35" s="97">
        <f t="shared" si="51"/>
        <v>4940</v>
      </c>
      <c r="K35" s="97">
        <f t="shared" si="52"/>
        <v>30940</v>
      </c>
      <c r="L35" s="97">
        <f t="shared" si="36"/>
        <v>5200000</v>
      </c>
      <c r="M35" s="97">
        <f t="shared" si="37"/>
        <v>6188000</v>
      </c>
      <c r="N35" s="81" t="str">
        <f>IF(C35="","",VLOOKUP(C35,listaBolsa!$D$2:$AZ$1276,23,0))</f>
        <v>Angie Pachon (personalizado INK)</v>
      </c>
      <c r="O35" s="98">
        <f>IF(C35="","",VLOOKUP(C35,listaBolsa!$D$2:$AZ$1276,27,0))</f>
        <v>35000</v>
      </c>
      <c r="P35" s="99">
        <f t="shared" si="50"/>
        <v>6650</v>
      </c>
      <c r="Q35" s="99">
        <f t="shared" si="38"/>
        <v>41650</v>
      </c>
      <c r="R35" s="99">
        <f t="shared" si="39"/>
        <v>7000000</v>
      </c>
      <c r="S35" s="99">
        <f t="shared" si="40"/>
        <v>8330000</v>
      </c>
      <c r="T35" s="76" t="str">
        <f>IF(C35="","",VLOOKUP(C35,listaBolsa!$D$2:$BB$1276,36,0))</f>
        <v>MARIA CONFLICTO</v>
      </c>
      <c r="U35" s="100">
        <f>IF(C35="","",VLOOKUP(C35,listaBolsa!$D$2:$BB$1276,40,0))</f>
        <v>29000</v>
      </c>
      <c r="V35" s="101">
        <f t="shared" si="41"/>
        <v>5510</v>
      </c>
      <c r="W35" s="101">
        <f t="shared" si="42"/>
        <v>34510</v>
      </c>
      <c r="X35" s="101">
        <f t="shared" si="43"/>
        <v>5800000</v>
      </c>
      <c r="Y35" s="101">
        <f t="shared" si="44"/>
        <v>6902000</v>
      </c>
      <c r="Z35" s="102">
        <f t="shared" si="45"/>
        <v>35700</v>
      </c>
      <c r="AA35" s="102">
        <f t="shared" si="46"/>
        <v>7140000</v>
      </c>
      <c r="AB35" s="103">
        <f t="shared" si="47"/>
        <v>1090653</v>
      </c>
      <c r="AC35" s="77">
        <f t="shared" si="48"/>
        <v>0.15275252100840336</v>
      </c>
      <c r="AD35" s="5"/>
      <c r="AF35" s="7" t="str">
        <f>IF(C35="","",VLOOKUP(C35,listaBolsa!$D$2:$BB$276,51,0))</f>
        <v>Segundo ítem sin Iva// Tercer ítem sin IVA</v>
      </c>
      <c r="BG35" s="7">
        <v>33</v>
      </c>
      <c r="CA35" s="7" t="str">
        <f>VLOOKUP(C35,listaBolsa!$D$2:$BA$1248,1,0)</f>
        <v>Agendas con esfero</v>
      </c>
      <c r="CB35" s="7" t="str">
        <f>VLOOKUP(C35,listaBolsa!$D$2:$BA$1248,2,0)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CC35" s="7" t="str">
        <f>VLOOKUP(C35,listaBolsa!$D$2:$BA$1248,10,0)</f>
        <v>INVENTIVA</v>
      </c>
      <c r="CD35" s="7">
        <f>VLOOKUP(C35,listaBolsa!$D$2:$BA$1248,14,0)</f>
        <v>26000</v>
      </c>
      <c r="CE35" s="7" t="str">
        <f>VLOOKUP(C35,listaBolsa!$D$2:$BA$1248,23,0)</f>
        <v>Angie Pachon (personalizado INK)</v>
      </c>
      <c r="CF35" s="7">
        <f>VLOOKUP(C35,listaBolsa!$D$2:$BA$1248,29,0)</f>
        <v>35000</v>
      </c>
      <c r="CG35" s="7" t="str">
        <f>VLOOKUP(C35,listaBolsa!$D$2:$BA$1248,36,0)</f>
        <v>MARIA CONFLICTO</v>
      </c>
      <c r="CH35" s="7">
        <f>VLOOKUP(C35,listaBolsa!$D$2:$BA$1248,40,0)</f>
        <v>29000</v>
      </c>
      <c r="CI35" s="7">
        <f>VLOOKUP(C35,listaBolsa!$D$2:$BA$1248,48,0)</f>
        <v>9.675482668183398E-2</v>
      </c>
      <c r="CJ35" s="7" t="b">
        <f t="shared" ref="CJ35:CJ65" si="53">CA35=C35</f>
        <v>1</v>
      </c>
      <c r="CK35" s="7" t="b">
        <f t="shared" ref="CK35:CK65" si="54">CB35=D35</f>
        <v>0</v>
      </c>
      <c r="CL35" s="7" t="b">
        <f t="shared" ref="CL35:CL65" si="55">CC35=H35</f>
        <v>1</v>
      </c>
      <c r="CM35" s="7" t="b">
        <f t="shared" ref="CM35:CM65" si="56">CD35=I35</f>
        <v>1</v>
      </c>
      <c r="CN35" s="7" t="b">
        <f t="shared" ref="CN35:CN65" si="57">CE35=N35</f>
        <v>1</v>
      </c>
      <c r="CO35" s="7" t="b">
        <f t="shared" ref="CO35:CO65" si="58">CF35=O35</f>
        <v>1</v>
      </c>
      <c r="CP35" s="7" t="b">
        <f t="shared" ref="CP35:CP65" si="59">CG35=T35</f>
        <v>1</v>
      </c>
      <c r="CQ35" s="7" t="b">
        <f t="shared" ref="CQ35:CQ65" si="60">CH35=U35</f>
        <v>1</v>
      </c>
      <c r="CR35" s="7" t="b">
        <f t="shared" ref="CR35:CR65" si="61">CI35=AC35</f>
        <v>0</v>
      </c>
    </row>
    <row r="36" spans="1:96" s="7" customFormat="1" ht="96">
      <c r="A36" s="75">
        <f t="shared" si="26"/>
        <v>34</v>
      </c>
      <c r="B36" s="204" t="s">
        <v>1397</v>
      </c>
      <c r="C36" s="205" t="s">
        <v>1379</v>
      </c>
      <c r="D36" s="205" t="s">
        <v>1380</v>
      </c>
      <c r="E36" s="206" t="s">
        <v>185</v>
      </c>
      <c r="F36" s="207">
        <v>400</v>
      </c>
      <c r="G36" s="205" t="s">
        <v>186</v>
      </c>
      <c r="H36" s="80" t="s">
        <v>1381</v>
      </c>
      <c r="I36" s="96">
        <v>35399</v>
      </c>
      <c r="J36" s="97">
        <f>I36*8%</f>
        <v>2831.92</v>
      </c>
      <c r="K36" s="97">
        <f t="shared" si="52"/>
        <v>38230.92</v>
      </c>
      <c r="L36" s="97">
        <f t="shared" ref="L36" si="62">IF(B36="","",(I36*F36))</f>
        <v>14159600</v>
      </c>
      <c r="M36" s="97">
        <f t="shared" ref="M36" si="63">IF(B36="","",(K36*F36))</f>
        <v>15292368</v>
      </c>
      <c r="N36" s="81" t="s">
        <v>1382</v>
      </c>
      <c r="O36" s="98">
        <v>26000</v>
      </c>
      <c r="P36" s="99">
        <f t="shared" ref="P36" si="64">O36*19%</f>
        <v>4940</v>
      </c>
      <c r="Q36" s="99">
        <f t="shared" ref="Q36" si="65">O36+P36</f>
        <v>30940</v>
      </c>
      <c r="R36" s="99">
        <f t="shared" ref="R36" si="66">IF(B36="","",(O36*F36))</f>
        <v>10400000</v>
      </c>
      <c r="S36" s="99">
        <f t="shared" ref="S36" si="67">IF(B36="","",(Q36*F36))</f>
        <v>12376000</v>
      </c>
      <c r="T36" s="76" t="s">
        <v>1383</v>
      </c>
      <c r="U36" s="100">
        <v>24500</v>
      </c>
      <c r="V36" s="101">
        <f>U36*8%</f>
        <v>1960</v>
      </c>
      <c r="W36" s="101">
        <f t="shared" ref="W36" si="68">U36+V36</f>
        <v>26460</v>
      </c>
      <c r="X36" s="101">
        <f t="shared" ref="X36" si="69">IF(B36="","",(U36*F36))</f>
        <v>9800000</v>
      </c>
      <c r="Y36" s="101">
        <f t="shared" ref="Y36" si="70">IF(B36="","",(W36*F36))</f>
        <v>10584000</v>
      </c>
      <c r="Z36" s="102">
        <f t="shared" si="45"/>
        <v>31877</v>
      </c>
      <c r="AA36" s="102">
        <f t="shared" si="46"/>
        <v>12750800</v>
      </c>
      <c r="AB36" s="103">
        <f t="shared" si="47"/>
        <v>2376454</v>
      </c>
      <c r="AC36" s="77">
        <f t="shared" si="48"/>
        <v>0.18637685478558208</v>
      </c>
      <c r="AD36" s="5"/>
      <c r="AF36" s="7" t="e">
        <f>IF(C36="","",VLOOKUP(C36,listaBolsa!$D$2:$BB$276,51,0))</f>
        <v>#N/A</v>
      </c>
      <c r="BG36" s="7">
        <v>34</v>
      </c>
      <c r="CA36" s="7" t="e">
        <f>VLOOKUP(C36,listaBolsa!$D$2:$BA$1248,1,0)</f>
        <v>#N/A</v>
      </c>
      <c r="CB36" s="7" t="e">
        <f>VLOOKUP(C36,listaBolsa!$D$2:$BA$1248,2,0)</f>
        <v>#N/A</v>
      </c>
      <c r="CC36" s="7" t="e">
        <f>VLOOKUP(C36,listaBolsa!$D$2:$BA$1248,10,0)</f>
        <v>#N/A</v>
      </c>
      <c r="CD36" s="7" t="e">
        <f>VLOOKUP(C36,listaBolsa!$D$2:$BA$1248,14,0)</f>
        <v>#N/A</v>
      </c>
      <c r="CE36" s="7" t="e">
        <f>VLOOKUP(C36,listaBolsa!$D$2:$BA$1248,23,0)</f>
        <v>#N/A</v>
      </c>
      <c r="CF36" s="7" t="e">
        <f>VLOOKUP(C36,listaBolsa!$D$2:$BA$1248,29,0)</f>
        <v>#N/A</v>
      </c>
      <c r="CG36" s="7" t="e">
        <f>VLOOKUP(C36,listaBolsa!$D$2:$BA$1248,36,0)</f>
        <v>#N/A</v>
      </c>
      <c r="CH36" s="7" t="e">
        <f>VLOOKUP(C36,listaBolsa!$D$2:$BA$1248,40,0)</f>
        <v>#N/A</v>
      </c>
      <c r="CI36" s="7" t="e">
        <f>VLOOKUP(C36,listaBolsa!$D$2:$BA$1248,48,0)</f>
        <v>#N/A</v>
      </c>
      <c r="CJ36" s="7" t="e">
        <f t="shared" si="53"/>
        <v>#N/A</v>
      </c>
      <c r="CK36" s="7" t="e">
        <f t="shared" si="54"/>
        <v>#N/A</v>
      </c>
      <c r="CL36" s="7" t="e">
        <f t="shared" si="55"/>
        <v>#N/A</v>
      </c>
      <c r="CM36" s="7" t="e">
        <f t="shared" si="56"/>
        <v>#N/A</v>
      </c>
      <c r="CN36" s="7" t="e">
        <f t="shared" si="57"/>
        <v>#N/A</v>
      </c>
      <c r="CO36" s="7" t="e">
        <f t="shared" si="58"/>
        <v>#N/A</v>
      </c>
      <c r="CP36" s="7" t="e">
        <f t="shared" si="59"/>
        <v>#N/A</v>
      </c>
      <c r="CQ36" s="7" t="e">
        <f t="shared" si="60"/>
        <v>#N/A</v>
      </c>
      <c r="CR36" s="7" t="e">
        <f t="shared" si="61"/>
        <v>#N/A</v>
      </c>
    </row>
    <row r="37" spans="1:96" s="7" customFormat="1" ht="113.25">
      <c r="A37" s="75">
        <f t="shared" si="26"/>
        <v>35</v>
      </c>
      <c r="B37" s="204" t="s">
        <v>1397</v>
      </c>
      <c r="C37" s="205" t="s">
        <v>1399</v>
      </c>
      <c r="D37" s="205" t="s">
        <v>1400</v>
      </c>
      <c r="E37" s="206" t="s">
        <v>185</v>
      </c>
      <c r="F37" s="207">
        <v>200</v>
      </c>
      <c r="G37" s="205" t="s">
        <v>186</v>
      </c>
      <c r="H37" s="80"/>
      <c r="I37" s="96"/>
      <c r="J37" s="97"/>
      <c r="K37" s="97"/>
      <c r="L37" s="97"/>
      <c r="M37" s="97"/>
      <c r="N37" s="81"/>
      <c r="O37" s="98"/>
      <c r="P37" s="99"/>
      <c r="Q37" s="99"/>
      <c r="R37" s="99"/>
      <c r="S37" s="99"/>
      <c r="T37" s="76"/>
      <c r="U37" s="100"/>
      <c r="V37" s="101"/>
      <c r="W37" s="101"/>
      <c r="X37" s="101"/>
      <c r="Y37" s="101"/>
      <c r="Z37" s="102"/>
      <c r="AA37" s="102">
        <v>41200000</v>
      </c>
      <c r="AB37" s="103"/>
      <c r="AC37" s="77">
        <f t="shared" si="48"/>
        <v>0</v>
      </c>
      <c r="AD37" s="5"/>
      <c r="AF37" s="7" t="e">
        <f>IF(C37="","",VLOOKUP(C37,listaBolsa!$D$2:$BB$276,51,0))</f>
        <v>#N/A</v>
      </c>
      <c r="BG37" s="7">
        <v>35</v>
      </c>
      <c r="CA37" s="7" t="e">
        <f>VLOOKUP(C37,listaBolsa!$D$2:$BA$1248,1,0)</f>
        <v>#N/A</v>
      </c>
      <c r="CB37" s="7" t="e">
        <f>VLOOKUP(C37,listaBolsa!$D$2:$BA$1248,2,0)</f>
        <v>#N/A</v>
      </c>
      <c r="CC37" s="7" t="e">
        <f>VLOOKUP(C37,listaBolsa!$D$2:$BA$1248,10,0)</f>
        <v>#N/A</v>
      </c>
      <c r="CD37" s="7" t="e">
        <f>VLOOKUP(C37,listaBolsa!$D$2:$BA$1248,14,0)</f>
        <v>#N/A</v>
      </c>
      <c r="CE37" s="7" t="e">
        <f>VLOOKUP(C37,listaBolsa!$D$2:$BA$1248,23,0)</f>
        <v>#N/A</v>
      </c>
      <c r="CF37" s="7" t="e">
        <f>VLOOKUP(C37,listaBolsa!$D$2:$BA$1248,29,0)</f>
        <v>#N/A</v>
      </c>
      <c r="CG37" s="7" t="e">
        <f>VLOOKUP(C37,listaBolsa!$D$2:$BA$1248,36,0)</f>
        <v>#N/A</v>
      </c>
      <c r="CH37" s="7" t="e">
        <f>VLOOKUP(C37,listaBolsa!$D$2:$BA$1248,40,0)</f>
        <v>#N/A</v>
      </c>
      <c r="CI37" s="7" t="e">
        <f>VLOOKUP(C37,listaBolsa!$D$2:$BA$1248,48,0)</f>
        <v>#N/A</v>
      </c>
      <c r="CJ37" s="7" t="e">
        <f t="shared" si="53"/>
        <v>#N/A</v>
      </c>
      <c r="CK37" s="7" t="e">
        <f t="shared" si="54"/>
        <v>#N/A</v>
      </c>
      <c r="CL37" s="7" t="e">
        <f t="shared" si="55"/>
        <v>#N/A</v>
      </c>
      <c r="CM37" s="7" t="e">
        <f t="shared" si="56"/>
        <v>#N/A</v>
      </c>
      <c r="CN37" s="7" t="e">
        <f t="shared" si="57"/>
        <v>#N/A</v>
      </c>
      <c r="CO37" s="7" t="e">
        <f t="shared" si="58"/>
        <v>#N/A</v>
      </c>
      <c r="CP37" s="7" t="e">
        <f t="shared" si="59"/>
        <v>#N/A</v>
      </c>
      <c r="CQ37" s="7" t="e">
        <f t="shared" si="60"/>
        <v>#N/A</v>
      </c>
      <c r="CR37" s="7" t="e">
        <f t="shared" si="61"/>
        <v>#N/A</v>
      </c>
    </row>
    <row r="38" spans="1:96" s="7" customFormat="1" ht="120">
      <c r="A38" s="75">
        <f t="shared" si="26"/>
        <v>36</v>
      </c>
      <c r="B38" s="210" t="s">
        <v>1401</v>
      </c>
      <c r="C38" s="205" t="s">
        <v>1402</v>
      </c>
      <c r="D38" s="205" t="s">
        <v>1403</v>
      </c>
      <c r="E38" s="211" t="s">
        <v>1367</v>
      </c>
      <c r="F38" s="207">
        <v>10</v>
      </c>
      <c r="G38" s="205" t="s">
        <v>1116</v>
      </c>
      <c r="H38" s="80" t="s">
        <v>1404</v>
      </c>
      <c r="I38" s="96">
        <v>2500000</v>
      </c>
      <c r="J38" s="97"/>
      <c r="K38" s="97">
        <f t="shared" si="52"/>
        <v>2500000</v>
      </c>
      <c r="L38" s="97">
        <f t="shared" si="36"/>
        <v>25000000</v>
      </c>
      <c r="M38" s="97">
        <f t="shared" si="37"/>
        <v>25000000</v>
      </c>
      <c r="N38" s="81" t="s">
        <v>1405</v>
      </c>
      <c r="O38" s="98">
        <v>2500000</v>
      </c>
      <c r="P38" s="99"/>
      <c r="Q38" s="99">
        <f t="shared" si="38"/>
        <v>2500000</v>
      </c>
      <c r="R38" s="99">
        <f t="shared" si="39"/>
        <v>25000000</v>
      </c>
      <c r="S38" s="99">
        <f t="shared" si="40"/>
        <v>25000000</v>
      </c>
      <c r="T38" s="76"/>
      <c r="U38" s="100"/>
      <c r="V38" s="101"/>
      <c r="W38" s="101"/>
      <c r="X38" s="101"/>
      <c r="Y38" s="101"/>
      <c r="Z38" s="102">
        <f t="shared" si="45"/>
        <v>2500000</v>
      </c>
      <c r="AA38" s="102">
        <f t="shared" si="46"/>
        <v>25000000</v>
      </c>
      <c r="AB38" s="103">
        <f t="shared" si="47"/>
        <v>0</v>
      </c>
      <c r="AC38" s="77">
        <f t="shared" si="48"/>
        <v>0</v>
      </c>
      <c r="AD38" s="5"/>
      <c r="AF38" s="7" t="e">
        <f>IF(C38="","",VLOOKUP(C38,listaBolsa!$D$2:$BB$276,51,0))</f>
        <v>#N/A</v>
      </c>
      <c r="BG38" s="7">
        <v>36</v>
      </c>
      <c r="CA38" s="7" t="e">
        <f>VLOOKUP(C38,listaBolsa!$D$2:$BA$1248,1,0)</f>
        <v>#N/A</v>
      </c>
      <c r="CB38" s="7" t="e">
        <f>VLOOKUP(C38,listaBolsa!$D$2:$BA$1248,2,0)</f>
        <v>#N/A</v>
      </c>
      <c r="CC38" s="7" t="e">
        <f>VLOOKUP(C38,listaBolsa!$D$2:$BA$1248,10,0)</f>
        <v>#N/A</v>
      </c>
      <c r="CD38" s="7" t="e">
        <f>VLOOKUP(C38,listaBolsa!$D$2:$BA$1248,14,0)</f>
        <v>#N/A</v>
      </c>
      <c r="CE38" s="7" t="e">
        <f>VLOOKUP(C38,listaBolsa!$D$2:$BA$1248,23,0)</f>
        <v>#N/A</v>
      </c>
      <c r="CF38" s="7" t="e">
        <f>VLOOKUP(C38,listaBolsa!$D$2:$BA$1248,29,0)</f>
        <v>#N/A</v>
      </c>
      <c r="CG38" s="7" t="e">
        <f>VLOOKUP(C38,listaBolsa!$D$2:$BA$1248,36,0)</f>
        <v>#N/A</v>
      </c>
      <c r="CH38" s="7" t="e">
        <f>VLOOKUP(C38,listaBolsa!$D$2:$BA$1248,40,0)</f>
        <v>#N/A</v>
      </c>
      <c r="CI38" s="7" t="e">
        <f>VLOOKUP(C38,listaBolsa!$D$2:$BA$1248,48,0)</f>
        <v>#N/A</v>
      </c>
      <c r="CJ38" s="7" t="e">
        <f t="shared" si="53"/>
        <v>#N/A</v>
      </c>
      <c r="CK38" s="7" t="e">
        <f t="shared" si="54"/>
        <v>#N/A</v>
      </c>
      <c r="CL38" s="7" t="e">
        <f t="shared" si="55"/>
        <v>#N/A</v>
      </c>
      <c r="CM38" s="7" t="e">
        <f t="shared" si="56"/>
        <v>#N/A</v>
      </c>
      <c r="CN38" s="7" t="e">
        <f t="shared" si="57"/>
        <v>#N/A</v>
      </c>
      <c r="CO38" s="7" t="e">
        <f t="shared" si="58"/>
        <v>#N/A</v>
      </c>
      <c r="CP38" s="7" t="e">
        <f t="shared" si="59"/>
        <v>#N/A</v>
      </c>
      <c r="CQ38" s="7" t="e">
        <f t="shared" si="60"/>
        <v>#N/A</v>
      </c>
      <c r="CR38" s="7" t="e">
        <f t="shared" si="61"/>
        <v>#N/A</v>
      </c>
    </row>
    <row r="39" spans="1:96" s="7" customFormat="1" ht="72">
      <c r="A39" s="75">
        <f t="shared" si="26"/>
        <v>37</v>
      </c>
      <c r="B39" s="210" t="s">
        <v>1401</v>
      </c>
      <c r="C39" s="205" t="s">
        <v>1406</v>
      </c>
      <c r="D39" s="205" t="s">
        <v>1407</v>
      </c>
      <c r="E39" s="211" t="s">
        <v>185</v>
      </c>
      <c r="F39" s="207">
        <v>400</v>
      </c>
      <c r="G39" s="205" t="s">
        <v>186</v>
      </c>
      <c r="H39" s="80" t="s">
        <v>1408</v>
      </c>
      <c r="I39" s="96">
        <v>5000</v>
      </c>
      <c r="J39" s="97">
        <f t="shared" si="51"/>
        <v>950</v>
      </c>
      <c r="K39" s="97">
        <f t="shared" si="52"/>
        <v>5950</v>
      </c>
      <c r="L39" s="97">
        <f t="shared" si="36"/>
        <v>2000000</v>
      </c>
      <c r="M39" s="97">
        <f t="shared" si="37"/>
        <v>2380000</v>
      </c>
      <c r="N39" s="81" t="s">
        <v>1409</v>
      </c>
      <c r="O39" s="98">
        <v>6098</v>
      </c>
      <c r="P39" s="99">
        <f t="shared" si="50"/>
        <v>1158.6200000000001</v>
      </c>
      <c r="Q39" s="99">
        <f t="shared" si="38"/>
        <v>7256.62</v>
      </c>
      <c r="R39" s="99">
        <f t="shared" si="39"/>
        <v>2439200</v>
      </c>
      <c r="S39" s="99">
        <f t="shared" si="40"/>
        <v>2902648</v>
      </c>
      <c r="T39" s="76"/>
      <c r="U39" s="100"/>
      <c r="V39" s="101"/>
      <c r="W39" s="101"/>
      <c r="X39" s="101"/>
      <c r="Y39" s="101"/>
      <c r="Z39" s="102">
        <f t="shared" si="45"/>
        <v>6603</v>
      </c>
      <c r="AA39" s="102">
        <f t="shared" si="46"/>
        <v>2641200</v>
      </c>
      <c r="AB39" s="103">
        <f t="shared" si="47"/>
        <v>369568</v>
      </c>
      <c r="AC39" s="77">
        <f t="shared" si="48"/>
        <v>0.13992427684385886</v>
      </c>
      <c r="AD39" s="5"/>
      <c r="AF39" s="7" t="e">
        <f>IF(C39="","",VLOOKUP(C39,listaBolsa!$D$2:$BB$276,51,0))</f>
        <v>#N/A</v>
      </c>
      <c r="BG39" s="7">
        <v>37</v>
      </c>
      <c r="CA39" s="7" t="e">
        <f>VLOOKUP(C39,listaBolsa!$D$2:$BA$1248,1,0)</f>
        <v>#N/A</v>
      </c>
      <c r="CB39" s="7" t="e">
        <f>VLOOKUP(C39,listaBolsa!$D$2:$BA$1248,2,0)</f>
        <v>#N/A</v>
      </c>
      <c r="CC39" s="7" t="e">
        <f>VLOOKUP(C39,listaBolsa!$D$2:$BA$1248,10,0)</f>
        <v>#N/A</v>
      </c>
      <c r="CD39" s="7" t="e">
        <f>VLOOKUP(C39,listaBolsa!$D$2:$BA$1248,14,0)</f>
        <v>#N/A</v>
      </c>
      <c r="CE39" s="7" t="e">
        <f>VLOOKUP(C39,listaBolsa!$D$2:$BA$1248,23,0)</f>
        <v>#N/A</v>
      </c>
      <c r="CF39" s="7" t="e">
        <f>VLOOKUP(C39,listaBolsa!$D$2:$BA$1248,29,0)</f>
        <v>#N/A</v>
      </c>
      <c r="CG39" s="7" t="e">
        <f>VLOOKUP(C39,listaBolsa!$D$2:$BA$1248,36,0)</f>
        <v>#N/A</v>
      </c>
      <c r="CH39" s="7" t="e">
        <f>VLOOKUP(C39,listaBolsa!$D$2:$BA$1248,40,0)</f>
        <v>#N/A</v>
      </c>
      <c r="CI39" s="7" t="e">
        <f>VLOOKUP(C39,listaBolsa!$D$2:$BA$1248,48,0)</f>
        <v>#N/A</v>
      </c>
      <c r="CJ39" s="7" t="e">
        <f t="shared" si="53"/>
        <v>#N/A</v>
      </c>
      <c r="CK39" s="7" t="e">
        <f t="shared" si="54"/>
        <v>#N/A</v>
      </c>
      <c r="CL39" s="7" t="e">
        <f t="shared" si="55"/>
        <v>#N/A</v>
      </c>
      <c r="CM39" s="7" t="e">
        <f t="shared" si="56"/>
        <v>#N/A</v>
      </c>
      <c r="CN39" s="7" t="e">
        <f t="shared" si="57"/>
        <v>#N/A</v>
      </c>
      <c r="CO39" s="7" t="e">
        <f t="shared" si="58"/>
        <v>#N/A</v>
      </c>
      <c r="CP39" s="7" t="e">
        <f t="shared" si="59"/>
        <v>#N/A</v>
      </c>
      <c r="CQ39" s="7" t="e">
        <f t="shared" si="60"/>
        <v>#N/A</v>
      </c>
      <c r="CR39" s="7" t="e">
        <f t="shared" si="61"/>
        <v>#N/A</v>
      </c>
    </row>
    <row r="40" spans="1:96" s="7" customFormat="1" ht="168">
      <c r="A40" s="75">
        <f t="shared" si="26"/>
        <v>38</v>
      </c>
      <c r="B40" s="210" t="s">
        <v>1401</v>
      </c>
      <c r="C40" s="205" t="s">
        <v>871</v>
      </c>
      <c r="D40" s="205" t="s">
        <v>1410</v>
      </c>
      <c r="E40" s="211" t="s">
        <v>185</v>
      </c>
      <c r="F40" s="207">
        <v>200</v>
      </c>
      <c r="G40" s="205" t="s">
        <v>186</v>
      </c>
      <c r="H40" s="80" t="str">
        <f>IF(C40="","",VLOOKUP(C40,listaBolsa!$D$2:$W$1118,10,0))</f>
        <v>DICOES GRUPÓ PUBLICITARIO SAS</v>
      </c>
      <c r="I40" s="96">
        <f>IF(C40="","",VLOOKUP(C40,listaBolsa!$D$2:$W$1118,14,0))</f>
        <v>18000</v>
      </c>
      <c r="J40" s="97">
        <f t="shared" si="51"/>
        <v>3420</v>
      </c>
      <c r="K40" s="97">
        <f t="shared" si="52"/>
        <v>21420</v>
      </c>
      <c r="L40" s="97">
        <f t="shared" si="36"/>
        <v>3600000</v>
      </c>
      <c r="M40" s="97">
        <f t="shared" si="37"/>
        <v>4284000</v>
      </c>
      <c r="N40" s="81" t="str">
        <f>IF(C40="","",VLOOKUP(C40,listaBolsa!$D$2:$AZ$1276,23,0))</f>
        <v xml:space="preserve">ALOT STUDIO SAS	
</v>
      </c>
      <c r="O40" s="98">
        <f>IF(C40="","",VLOOKUP(C40,listaBolsa!$D$2:$AZ$1276,27,0))</f>
        <v>12500</v>
      </c>
      <c r="P40" s="99">
        <f t="shared" si="50"/>
        <v>2375</v>
      </c>
      <c r="Q40" s="99">
        <f t="shared" si="38"/>
        <v>14875</v>
      </c>
      <c r="R40" s="99">
        <f t="shared" si="39"/>
        <v>2500000</v>
      </c>
      <c r="S40" s="99">
        <f t="shared" si="40"/>
        <v>2975000</v>
      </c>
      <c r="T40" s="76" t="str">
        <f>IF(C40="","",VLOOKUP(C40,listaBolsa!$D$2:$BB$1276,36,0))</f>
        <v>SG DIGITAL S.A.S</v>
      </c>
      <c r="U40" s="100">
        <f>IF(C40="","",VLOOKUP(C40,listaBolsa!$D$2:$BB$1276,40,0))</f>
        <v>15126.050420168069</v>
      </c>
      <c r="V40" s="101">
        <f t="shared" si="41"/>
        <v>2873.9495798319331</v>
      </c>
      <c r="W40" s="101">
        <f t="shared" si="42"/>
        <v>18000</v>
      </c>
      <c r="X40" s="101">
        <f t="shared" si="43"/>
        <v>3025210.0840336136</v>
      </c>
      <c r="Y40" s="101">
        <f t="shared" si="44"/>
        <v>3600000</v>
      </c>
      <c r="Z40" s="102">
        <f t="shared" si="45"/>
        <v>18098</v>
      </c>
      <c r="AA40" s="102">
        <f t="shared" si="46"/>
        <v>3619600</v>
      </c>
      <c r="AB40" s="103">
        <f t="shared" si="47"/>
        <v>654722</v>
      </c>
      <c r="AC40" s="77">
        <f t="shared" si="48"/>
        <v>0.18088241794673446</v>
      </c>
      <c r="AD40" s="5"/>
      <c r="AF40" s="7">
        <f>IF(C40="","",VLOOKUP(C40,listaBolsa!$D$2:$BB$276,51,0))</f>
        <v>0</v>
      </c>
      <c r="BG40" s="7">
        <v>38</v>
      </c>
      <c r="CA40" s="7" t="str">
        <f>VLOOKUP(C40,listaBolsa!$D$2:$BA$1248,1,0)</f>
        <v>Pin cuadrado</v>
      </c>
      <c r="CB40" s="7" t="str">
        <f>VLOOKUP(C40,listaBolsa!$D$2:$BA$1248,2,0)</f>
        <v xml:space="preserve">Pin cuadrado 2cm x cm_x000D_
Material aluminio o acero inoxidable_x000D_
Cierre mariposa en el mismo material del pin_x000D_
Diseño personalizado 4x0 </v>
      </c>
      <c r="CC40" s="7" t="str">
        <f>VLOOKUP(C40,listaBolsa!$D$2:$BA$1248,10,0)</f>
        <v>DICOES GRUPÓ PUBLICITARIO SAS</v>
      </c>
      <c r="CD40" s="7">
        <f>VLOOKUP(C40,listaBolsa!$D$2:$BA$1248,14,0)</f>
        <v>18000</v>
      </c>
      <c r="CE40" s="7" t="str">
        <f>VLOOKUP(C40,listaBolsa!$D$2:$BA$1248,23,0)</f>
        <v xml:space="preserve">ALOT STUDIO SAS	
</v>
      </c>
      <c r="CF40" s="7">
        <f>VLOOKUP(C40,listaBolsa!$D$2:$BA$1248,29,0)</f>
        <v>14875</v>
      </c>
      <c r="CG40" s="7" t="str">
        <f>VLOOKUP(C40,listaBolsa!$D$2:$BA$1248,36,0)</f>
        <v>SG DIGITAL S.A.S</v>
      </c>
      <c r="CH40" s="7">
        <f>VLOOKUP(C40,listaBolsa!$D$2:$BA$1248,40,0)</f>
        <v>15126.050420168069</v>
      </c>
      <c r="CI40" s="7">
        <f>VLOOKUP(C40,listaBolsa!$D$2:$BA$1248,48,0)</f>
        <v>0.18090396728920322</v>
      </c>
      <c r="CJ40" s="7" t="b">
        <f t="shared" si="53"/>
        <v>1</v>
      </c>
      <c r="CK40" s="7" t="b">
        <f t="shared" si="54"/>
        <v>0</v>
      </c>
      <c r="CL40" s="7" t="b">
        <f t="shared" si="55"/>
        <v>1</v>
      </c>
      <c r="CM40" s="7" t="b">
        <f t="shared" si="56"/>
        <v>1</v>
      </c>
      <c r="CN40" s="7" t="b">
        <f t="shared" si="57"/>
        <v>1</v>
      </c>
      <c r="CO40" s="7" t="b">
        <f t="shared" si="58"/>
        <v>0</v>
      </c>
      <c r="CP40" s="7" t="b">
        <f t="shared" si="59"/>
        <v>1</v>
      </c>
      <c r="CQ40" s="7" t="b">
        <f t="shared" si="60"/>
        <v>1</v>
      </c>
      <c r="CR40" s="7" t="b">
        <f t="shared" si="61"/>
        <v>0</v>
      </c>
    </row>
    <row r="41" spans="1:96" s="7" customFormat="1" ht="168">
      <c r="A41" s="75">
        <f t="shared" si="26"/>
        <v>39</v>
      </c>
      <c r="B41" s="210" t="s">
        <v>1401</v>
      </c>
      <c r="C41" s="205" t="s">
        <v>876</v>
      </c>
      <c r="D41" s="205" t="s">
        <v>1411</v>
      </c>
      <c r="E41" s="211" t="s">
        <v>185</v>
      </c>
      <c r="F41" s="207">
        <v>200</v>
      </c>
      <c r="G41" s="205" t="s">
        <v>186</v>
      </c>
      <c r="H41" s="80" t="str">
        <f>IF(C41="","",VLOOKUP(C41,listaBolsa!$D$2:$W$1118,10,0))</f>
        <v>DICOES GRUPÓ PUBLICITARIO SAS</v>
      </c>
      <c r="I41" s="96">
        <f>IF(C41="","",VLOOKUP(C41,listaBolsa!$D$2:$W$1118,14,0))</f>
        <v>18000</v>
      </c>
      <c r="J41" s="97">
        <f t="shared" si="51"/>
        <v>3420</v>
      </c>
      <c r="K41" s="97">
        <f t="shared" si="52"/>
        <v>21420</v>
      </c>
      <c r="L41" s="97">
        <f t="shared" si="36"/>
        <v>3600000</v>
      </c>
      <c r="M41" s="97">
        <f t="shared" si="37"/>
        <v>4284000</v>
      </c>
      <c r="N41" s="81" t="str">
        <f>IF(C41="","",VLOOKUP(C41,listaBolsa!$D$2:$AZ$1276,23,0))</f>
        <v>A LOT STUDIO SAS_Varios.pdf</v>
      </c>
      <c r="O41" s="98">
        <f>IF(C41="","",VLOOKUP(C41,listaBolsa!$D$2:$AZ$1276,27,0))</f>
        <v>12500</v>
      </c>
      <c r="P41" s="99">
        <f t="shared" si="50"/>
        <v>2375</v>
      </c>
      <c r="Q41" s="99">
        <f t="shared" si="38"/>
        <v>14875</v>
      </c>
      <c r="R41" s="99">
        <f t="shared" si="39"/>
        <v>2500000</v>
      </c>
      <c r="S41" s="99">
        <f t="shared" si="40"/>
        <v>2975000</v>
      </c>
      <c r="T41" s="76" t="str">
        <f>IF(C41="","",VLOOKUP(C41,listaBolsa!$D$2:$BB$1276,36,0))</f>
        <v>SG DIGITAL S.A.S</v>
      </c>
      <c r="U41" s="100">
        <f>IF(C41="","",VLOOKUP(C41,listaBolsa!$D$2:$BB$1276,40,0))</f>
        <v>15126.050420168069</v>
      </c>
      <c r="V41" s="101">
        <f t="shared" si="41"/>
        <v>2873.9495798319331</v>
      </c>
      <c r="W41" s="101">
        <f t="shared" si="42"/>
        <v>18000</v>
      </c>
      <c r="X41" s="101">
        <f t="shared" si="43"/>
        <v>3025210.0840336136</v>
      </c>
      <c r="Y41" s="101">
        <f t="shared" si="44"/>
        <v>3600000</v>
      </c>
      <c r="Z41" s="102">
        <f t="shared" si="45"/>
        <v>18098</v>
      </c>
      <c r="AA41" s="102">
        <f t="shared" si="46"/>
        <v>3619600</v>
      </c>
      <c r="AB41" s="103">
        <f t="shared" si="47"/>
        <v>654722</v>
      </c>
      <c r="AC41" s="77">
        <f t="shared" si="48"/>
        <v>0.18088241794673446</v>
      </c>
      <c r="AD41" s="5"/>
      <c r="AF41" s="7">
        <f>IF(C41="","",VLOOKUP(C41,listaBolsa!$D$2:$BB$276,51,0))</f>
        <v>0</v>
      </c>
      <c r="BG41" s="7">
        <v>39</v>
      </c>
      <c r="CA41" s="7" t="str">
        <f>VLOOKUP(C41,listaBolsa!$D$2:$BA$1248,1,0)</f>
        <v>Pin redondo</v>
      </c>
      <c r="CB41" s="7" t="str">
        <f>VLOOKUP(C41,listaBolsa!$D$2:$BA$1248,2,0)</f>
        <v xml:space="preserve">Pin redondo diámetro 20 mm_x000D_
Material aluminio o acero inoxidable_x000D_
Cierre mariposa en el mismo material del pin_x000D_
Diseño personalizado 4x0 </v>
      </c>
      <c r="CC41" s="7" t="str">
        <f>VLOOKUP(C41,listaBolsa!$D$2:$BA$1248,10,0)</f>
        <v>DICOES GRUPÓ PUBLICITARIO SAS</v>
      </c>
      <c r="CD41" s="7">
        <f>VLOOKUP(C41,listaBolsa!$D$2:$BA$1248,14,0)</f>
        <v>18000</v>
      </c>
      <c r="CE41" s="7" t="str">
        <f>VLOOKUP(C41,listaBolsa!$D$2:$BA$1248,23,0)</f>
        <v>A LOT STUDIO SAS_Varios.pdf</v>
      </c>
      <c r="CF41" s="7">
        <f>VLOOKUP(C41,listaBolsa!$D$2:$BA$1248,29,0)</f>
        <v>14875</v>
      </c>
      <c r="CG41" s="7" t="str">
        <f>VLOOKUP(C41,listaBolsa!$D$2:$BA$1248,36,0)</f>
        <v>SG DIGITAL S.A.S</v>
      </c>
      <c r="CH41" s="7">
        <f>VLOOKUP(C41,listaBolsa!$D$2:$BA$1248,40,0)</f>
        <v>15126.050420168069</v>
      </c>
      <c r="CI41" s="7">
        <f>VLOOKUP(C41,listaBolsa!$D$2:$BA$1248,48,0)</f>
        <v>0.18090396728920322</v>
      </c>
      <c r="CJ41" s="7" t="b">
        <f t="shared" si="53"/>
        <v>1</v>
      </c>
      <c r="CK41" s="7" t="b">
        <f t="shared" si="54"/>
        <v>0</v>
      </c>
      <c r="CL41" s="7" t="b">
        <f t="shared" si="55"/>
        <v>1</v>
      </c>
      <c r="CM41" s="7" t="b">
        <f t="shared" si="56"/>
        <v>1</v>
      </c>
      <c r="CN41" s="7" t="b">
        <f t="shared" si="57"/>
        <v>1</v>
      </c>
      <c r="CO41" s="7" t="b">
        <f t="shared" si="58"/>
        <v>0</v>
      </c>
      <c r="CP41" s="7" t="b">
        <f t="shared" si="59"/>
        <v>1</v>
      </c>
      <c r="CQ41" s="7" t="b">
        <f t="shared" si="60"/>
        <v>1</v>
      </c>
      <c r="CR41" s="7" t="b">
        <f t="shared" si="61"/>
        <v>0</v>
      </c>
    </row>
    <row r="42" spans="1:96" s="7" customFormat="1" ht="405">
      <c r="A42" s="75">
        <f t="shared" si="26"/>
        <v>40</v>
      </c>
      <c r="B42" s="210" t="s">
        <v>1401</v>
      </c>
      <c r="C42" s="205" t="s">
        <v>352</v>
      </c>
      <c r="D42" s="205" t="s">
        <v>353</v>
      </c>
      <c r="E42" s="211" t="s">
        <v>255</v>
      </c>
      <c r="F42" s="207">
        <v>10</v>
      </c>
      <c r="G42" s="205" t="s">
        <v>288</v>
      </c>
      <c r="H42" s="80"/>
      <c r="I42" s="96" t="str">
        <f>IF(C42="","",VLOOKUP(C42,listaBolsa!$D$2:$W$1118,14,0))</f>
        <v> </v>
      </c>
      <c r="J42" s="97"/>
      <c r="K42" s="97"/>
      <c r="L42" s="97"/>
      <c r="M42" s="97"/>
      <c r="N42" s="81" t="str">
        <f>IF(C42="","",VLOOKUP(C42,listaBolsa!$D$2:$AZ$1276,23,0))</f>
        <v>Estimación de precios con base en el proceso FDLSUBA-LP-013-2025 (140689) – Contrato 1000 – 2025, indexando el incremento de precios en el mercado con base en el Índice de Precios al Consumidor (IPC) para el mes de marzo de 2026, el cual fue de 5,56%.</v>
      </c>
      <c r="O42" s="98" t="str">
        <f>IF(C42="","",VLOOKUP(C42,listaBolsa!$D$2:$AZ$1276,27,0))</f>
        <v>OPERADOR LOGÍSTICO</v>
      </c>
      <c r="P42" s="98" t="s">
        <v>1412</v>
      </c>
      <c r="Q42" s="99">
        <v>2860672</v>
      </c>
      <c r="R42" s="99">
        <v>543528</v>
      </c>
      <c r="S42" s="99">
        <f t="shared" si="40"/>
        <v>28606720</v>
      </c>
      <c r="T42" s="76" t="str">
        <f>IF(C42="","",VLOOKUP(C42,listaBolsa!$D$2:$BB$1276,36,0))</f>
        <v>FUNCAS</v>
      </c>
      <c r="U42" s="100">
        <f>IF(C42="","",VLOOKUP(C42,listaBolsa!$D$2:$BB$1276,40,0))</f>
        <v>2764196</v>
      </c>
      <c r="V42" s="101">
        <f t="shared" si="41"/>
        <v>525197.24</v>
      </c>
      <c r="W42" s="101">
        <f t="shared" si="42"/>
        <v>3289393.24</v>
      </c>
      <c r="X42" s="101">
        <f t="shared" si="43"/>
        <v>27641960</v>
      </c>
      <c r="Y42" s="101">
        <f t="shared" si="44"/>
        <v>32893932.400000002</v>
      </c>
      <c r="Z42" s="102">
        <f t="shared" si="45"/>
        <v>3075033</v>
      </c>
      <c r="AA42" s="102">
        <f t="shared" si="46"/>
        <v>30750330</v>
      </c>
      <c r="AB42" s="103">
        <f t="shared" si="47"/>
        <v>3031517</v>
      </c>
      <c r="AC42" s="77">
        <f t="shared" si="48"/>
        <v>9.85848607153159E-2</v>
      </c>
      <c r="AD42" s="5"/>
      <c r="AF42" s="7">
        <f>IF(C42="","",VLOOKUP(C42,listaBolsa!$D$2:$BB$276,51,0))</f>
        <v>0</v>
      </c>
      <c r="BG42" s="7">
        <v>40</v>
      </c>
      <c r="CA42" s="7" t="str">
        <f>VLOOKUP(C42,listaBolsa!$D$2:$BA$1248,1,0)</f>
        <v>Alquiler planta electrica 200 KVA</v>
      </c>
      <c r="CB42" s="7" t="str">
        <f>VLOOKUP(C42,listaBolsa!$D$2:$BA$1248,2,0)</f>
        <v>ALQUILER DE PLANTA ELÉCTRICA DE 200 KVA: PLANTA ELECTRICA DE 200 KVA INSONORIZADA, QUE INCLUYA TRANSPORTE, PARCIAL DE CORRIENTE DE 10 METROS, TRIFÁSICA, TIERRA Y NEUTRO CON OPERARIO DISPONIBLE JORNADA POR EVENTO O DÍA</v>
      </c>
      <c r="CC42" s="7">
        <f>VLOOKUP(C42,listaBolsa!$D$2:$BA$1248,10,0)</f>
        <v>0</v>
      </c>
      <c r="CD42" s="7" t="str">
        <f>VLOOKUP(C42,listaBolsa!$D$2:$BA$1248,14,0)</f>
        <v> </v>
      </c>
      <c r="CE42" s="7" t="str">
        <f>VLOOKUP(C42,listaBolsa!$D$2:$BA$1248,23,0)</f>
        <v>Estimación de precios con base en el proceso FDLSUBA-LP-013-2025 (140689) – Contrato 1000 – 2025, indexando el incremento de precios en el mercado con base en el Índice de Precios al Consumidor (IPC) para el mes de marzo de 2026, el cual fue de 5,56%.</v>
      </c>
      <c r="CF42" s="7">
        <f>VLOOKUP(C42,listaBolsa!$D$2:$BA$1248,29,0)</f>
        <v>2860672.2689075633</v>
      </c>
      <c r="CG42" s="7" t="str">
        <f>VLOOKUP(C42,listaBolsa!$D$2:$BA$1248,36,0)</f>
        <v>FUNCAS</v>
      </c>
      <c r="CH42" s="7">
        <f>VLOOKUP(C42,listaBolsa!$D$2:$BA$1248,40,0)</f>
        <v>2764196</v>
      </c>
      <c r="CI42" s="7">
        <f>VLOOKUP(C42,listaBolsa!$D$2:$BA$1248,48,0)</f>
        <v>2.4299999999999999E-2</v>
      </c>
      <c r="CJ42" s="7" t="b">
        <f t="shared" si="53"/>
        <v>1</v>
      </c>
      <c r="CK42" s="7" t="b">
        <f t="shared" si="54"/>
        <v>1</v>
      </c>
      <c r="CL42" s="7" t="b">
        <f t="shared" si="55"/>
        <v>1</v>
      </c>
      <c r="CM42" s="7" t="b">
        <f t="shared" si="56"/>
        <v>1</v>
      </c>
      <c r="CN42" s="7" t="b">
        <f t="shared" si="57"/>
        <v>1</v>
      </c>
      <c r="CO42" s="7" t="b">
        <f t="shared" si="58"/>
        <v>0</v>
      </c>
      <c r="CP42" s="7" t="b">
        <f t="shared" si="59"/>
        <v>1</v>
      </c>
      <c r="CQ42" s="7" t="b">
        <f t="shared" si="60"/>
        <v>1</v>
      </c>
      <c r="CR42" s="7" t="b">
        <f t="shared" si="61"/>
        <v>0</v>
      </c>
    </row>
    <row r="43" spans="1:96" s="7" customFormat="1" ht="75">
      <c r="A43" s="75">
        <f t="shared" si="26"/>
        <v>41</v>
      </c>
      <c r="B43" s="210" t="s">
        <v>1401</v>
      </c>
      <c r="C43" s="205" t="s">
        <v>395</v>
      </c>
      <c r="D43" s="205" t="s">
        <v>396</v>
      </c>
      <c r="E43" s="211" t="s">
        <v>185</v>
      </c>
      <c r="F43" s="207">
        <v>10</v>
      </c>
      <c r="G43" s="205" t="s">
        <v>288</v>
      </c>
      <c r="H43" s="80" t="str">
        <f>IF(C43="","",VLOOKUP(C43,listaBolsa!$D$2:$W$1118,10,0))</f>
        <v>D&amp;R PRODUCCIONES SAS</v>
      </c>
      <c r="I43" s="96">
        <f>IF(C43="","",VLOOKUP(C43,listaBolsa!$D$2:$W$1118,14,0))</f>
        <v>1650000</v>
      </c>
      <c r="J43" s="97">
        <f t="shared" si="51"/>
        <v>313500</v>
      </c>
      <c r="K43" s="97">
        <f t="shared" si="52"/>
        <v>1963500</v>
      </c>
      <c r="L43" s="97">
        <f t="shared" si="36"/>
        <v>16500000</v>
      </c>
      <c r="M43" s="97">
        <f t="shared" si="37"/>
        <v>19635000</v>
      </c>
      <c r="N43" s="81" t="str">
        <f>IF(C43="","",VLOOKUP(C43,listaBolsa!$D$2:$AZ$1276,23,0))</f>
        <v>ACTIVO2 EVENTOS</v>
      </c>
      <c r="O43" s="98">
        <f>IF(C43="","",VLOOKUP(C43,listaBolsa!$D$2:$AZ$1276,27,0))</f>
        <v>2000000</v>
      </c>
      <c r="P43" s="99">
        <f t="shared" si="50"/>
        <v>380000</v>
      </c>
      <c r="Q43" s="99">
        <f t="shared" si="38"/>
        <v>2380000</v>
      </c>
      <c r="R43" s="99">
        <f t="shared" si="39"/>
        <v>20000000</v>
      </c>
      <c r="S43" s="99">
        <f t="shared" si="40"/>
        <v>23800000</v>
      </c>
      <c r="T43" s="76" t="str">
        <f>IF(C43="","",VLOOKUP(C43,listaBolsa!$D$2:$BB$1276,36,0))</f>
        <v>EFECTO_MASIVO</v>
      </c>
      <c r="U43" s="100">
        <f>IF(C43="","",VLOOKUP(C43,listaBolsa!$D$2:$BB$1276,40,0))</f>
        <v>1680672</v>
      </c>
      <c r="V43" s="101">
        <f t="shared" si="41"/>
        <v>319327.68</v>
      </c>
      <c r="W43" s="101">
        <f t="shared" si="42"/>
        <v>1999999.68</v>
      </c>
      <c r="X43" s="101">
        <f t="shared" si="43"/>
        <v>16806720</v>
      </c>
      <c r="Y43" s="101">
        <f t="shared" si="44"/>
        <v>19999996.800000001</v>
      </c>
      <c r="Z43" s="102">
        <f t="shared" si="45"/>
        <v>2114500</v>
      </c>
      <c r="AA43" s="102">
        <f t="shared" si="46"/>
        <v>21145000</v>
      </c>
      <c r="AB43" s="103">
        <f t="shared" si="47"/>
        <v>2306530</v>
      </c>
      <c r="AC43" s="77">
        <f t="shared" si="48"/>
        <v>0.10908157956963821</v>
      </c>
      <c r="AD43" s="5"/>
      <c r="AF43" s="7">
        <f>IF(C43="","",VLOOKUP(C43,listaBolsa!$D$2:$BB$276,51,0))</f>
        <v>0</v>
      </c>
      <c r="BG43" s="7">
        <v>41</v>
      </c>
      <c r="CA43" s="7" t="str">
        <f>VLOOKUP(C43,listaBolsa!$D$2:$BA$1248,1,0)</f>
        <v>Alquiler Sonido 2000 w 8 a 12 horas</v>
      </c>
      <c r="CB43" s="7" t="str">
        <f>VLOOKUP(C43,listaBolsa!$D$2:$BA$1248,2,0)</f>
        <v>Alquiler de Sonido de 2000 watios con operario por un periodo de 8 a 12 horas 2 cabinas de sonido, 2 trípodes para cabinas, sistema de monitoreo, set de micrófono, 1 consola de sonido.</v>
      </c>
      <c r="CC43" s="7" t="str">
        <f>VLOOKUP(C43,listaBolsa!$D$2:$BA$1248,10,0)</f>
        <v>D&amp;R PRODUCCIONES SAS</v>
      </c>
      <c r="CD43" s="7">
        <f>VLOOKUP(C43,listaBolsa!$D$2:$BA$1248,14,0)</f>
        <v>1650000</v>
      </c>
      <c r="CE43" s="7" t="str">
        <f>VLOOKUP(C43,listaBolsa!$D$2:$BA$1248,23,0)</f>
        <v>ACTIVO2 EVENTOS</v>
      </c>
      <c r="CF43" s="7">
        <f>VLOOKUP(C43,listaBolsa!$D$2:$BA$1248,29,0)</f>
        <v>2380000</v>
      </c>
      <c r="CG43" s="7" t="str">
        <f>VLOOKUP(C43,listaBolsa!$D$2:$BA$1248,36,0)</f>
        <v>EFECTO_MASIVO</v>
      </c>
      <c r="CH43" s="7">
        <f>VLOOKUP(C43,listaBolsa!$D$2:$BA$1248,40,0)</f>
        <v>1680672</v>
      </c>
      <c r="CI43" s="7">
        <f>VLOOKUP(C43,listaBolsa!$D$2:$BA$1248,48,0)</f>
        <v>0.10908157956963821</v>
      </c>
      <c r="CJ43" s="7" t="b">
        <f t="shared" si="53"/>
        <v>1</v>
      </c>
      <c r="CK43" s="7" t="b">
        <f t="shared" si="54"/>
        <v>1</v>
      </c>
      <c r="CL43" s="7" t="b">
        <f t="shared" si="55"/>
        <v>1</v>
      </c>
      <c r="CM43" s="7" t="b">
        <f t="shared" si="56"/>
        <v>1</v>
      </c>
      <c r="CN43" s="7" t="b">
        <f t="shared" si="57"/>
        <v>1</v>
      </c>
      <c r="CO43" s="7" t="b">
        <f t="shared" si="58"/>
        <v>0</v>
      </c>
      <c r="CP43" s="7" t="b">
        <f t="shared" si="59"/>
        <v>1</v>
      </c>
      <c r="CQ43" s="7" t="b">
        <f t="shared" si="60"/>
        <v>1</v>
      </c>
      <c r="CR43" s="7" t="b">
        <f t="shared" si="61"/>
        <v>1</v>
      </c>
    </row>
    <row r="44" spans="1:96" s="7" customFormat="1" ht="150">
      <c r="A44" s="75">
        <f t="shared" si="26"/>
        <v>42</v>
      </c>
      <c r="B44" s="210" t="s">
        <v>1413</v>
      </c>
      <c r="C44" s="205" t="s">
        <v>232</v>
      </c>
      <c r="D44" s="205" t="s">
        <v>1398</v>
      </c>
      <c r="E44" s="211" t="s">
        <v>185</v>
      </c>
      <c r="F44" s="207">
        <v>250</v>
      </c>
      <c r="G44" s="205" t="s">
        <v>186</v>
      </c>
      <c r="H44" s="80" t="str">
        <f>IF(C44="","",VLOOKUP(C44,listaBolsa!$D$2:$W$1118,10,0))</f>
        <v>INVENTIVA</v>
      </c>
      <c r="I44" s="96">
        <f>IF(C44="","",VLOOKUP(C44,listaBolsa!$D$2:$W$1118,14,0))</f>
        <v>26000</v>
      </c>
      <c r="J44" s="97">
        <f>I44*19%</f>
        <v>4940</v>
      </c>
      <c r="K44" s="97">
        <f t="shared" si="52"/>
        <v>30940</v>
      </c>
      <c r="L44" s="97">
        <f t="shared" si="36"/>
        <v>6500000</v>
      </c>
      <c r="M44" s="97">
        <f t="shared" si="37"/>
        <v>7735000</v>
      </c>
      <c r="N44" s="81" t="str">
        <f>IF(C44="","",VLOOKUP(C44,listaBolsa!$D$2:$AZ$1276,23,0))</f>
        <v>Angie Pachon (personalizado INK)</v>
      </c>
      <c r="O44" s="98">
        <f>IF(C44="","",VLOOKUP(C44,listaBolsa!$D$2:$AZ$1276,27,0))</f>
        <v>35000</v>
      </c>
      <c r="P44" s="99">
        <f t="shared" si="50"/>
        <v>6650</v>
      </c>
      <c r="Q44" s="99">
        <f t="shared" si="38"/>
        <v>41650</v>
      </c>
      <c r="R44" s="99">
        <f t="shared" si="39"/>
        <v>8750000</v>
      </c>
      <c r="S44" s="99">
        <f t="shared" si="40"/>
        <v>10412500</v>
      </c>
      <c r="T44" s="76" t="str">
        <f>IF(C44="","",VLOOKUP(C44,listaBolsa!$D$2:$BB$1276,36,0))</f>
        <v>MARIA CONFLICTO</v>
      </c>
      <c r="U44" s="100">
        <f>IF(C44="","",VLOOKUP(C44,listaBolsa!$D$2:$BB$1276,40,0))</f>
        <v>29000</v>
      </c>
      <c r="V44" s="101">
        <f t="shared" si="41"/>
        <v>5510</v>
      </c>
      <c r="W44" s="101">
        <f t="shared" si="42"/>
        <v>34510</v>
      </c>
      <c r="X44" s="101">
        <f t="shared" si="43"/>
        <v>7250000</v>
      </c>
      <c r="Y44" s="101">
        <f t="shared" si="44"/>
        <v>8627500</v>
      </c>
      <c r="Z44" s="102">
        <f t="shared" si="45"/>
        <v>35700</v>
      </c>
      <c r="AA44" s="102">
        <f t="shared" si="46"/>
        <v>8925000</v>
      </c>
      <c r="AB44" s="103">
        <f t="shared" si="47"/>
        <v>1363316</v>
      </c>
      <c r="AC44" s="77">
        <f t="shared" si="48"/>
        <v>0.15275249299719887</v>
      </c>
      <c r="AD44" s="5"/>
      <c r="AF44" s="7" t="str">
        <f>IF(C44="","",VLOOKUP(C44,listaBolsa!$D$2:$BB$276,51,0))</f>
        <v>Segundo ítem sin Iva// Tercer ítem sin IVA</v>
      </c>
      <c r="BG44" s="7">
        <v>42</v>
      </c>
      <c r="CA44" s="7" t="str">
        <f>VLOOKUP(C44,listaBolsa!$D$2:$BA$1248,1,0)</f>
        <v>Agendas con esfero</v>
      </c>
      <c r="CB44" s="7" t="str">
        <f>VLOOKUP(C44,listaBolsa!$D$2:$BA$1248,2,0)</f>
        <v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v>
      </c>
      <c r="CC44" s="7" t="str">
        <f>VLOOKUP(C44,listaBolsa!$D$2:$BA$1248,10,0)</f>
        <v>INVENTIVA</v>
      </c>
      <c r="CD44" s="7">
        <f>VLOOKUP(C44,listaBolsa!$D$2:$BA$1248,14,0)</f>
        <v>26000</v>
      </c>
      <c r="CE44" s="7" t="str">
        <f>VLOOKUP(C44,listaBolsa!$D$2:$BA$1248,23,0)</f>
        <v>Angie Pachon (personalizado INK)</v>
      </c>
      <c r="CF44" s="7">
        <f>VLOOKUP(C44,listaBolsa!$D$2:$BA$1248,29,0)</f>
        <v>35000</v>
      </c>
      <c r="CG44" s="7" t="str">
        <f>VLOOKUP(C44,listaBolsa!$D$2:$BA$1248,36,0)</f>
        <v>MARIA CONFLICTO</v>
      </c>
      <c r="CH44" s="7">
        <f>VLOOKUP(C44,listaBolsa!$D$2:$BA$1248,40,0)</f>
        <v>29000</v>
      </c>
      <c r="CI44" s="7">
        <f>VLOOKUP(C44,listaBolsa!$D$2:$BA$1248,48,0)</f>
        <v>9.675482668183398E-2</v>
      </c>
      <c r="CJ44" s="7" t="b">
        <f t="shared" si="53"/>
        <v>1</v>
      </c>
      <c r="CK44" s="7" t="b">
        <f t="shared" si="54"/>
        <v>0</v>
      </c>
      <c r="CL44" s="7" t="b">
        <f t="shared" si="55"/>
        <v>1</v>
      </c>
      <c r="CM44" s="7" t="b">
        <f t="shared" si="56"/>
        <v>1</v>
      </c>
      <c r="CN44" s="7" t="b">
        <f t="shared" si="57"/>
        <v>1</v>
      </c>
      <c r="CO44" s="7" t="b">
        <f t="shared" si="58"/>
        <v>1</v>
      </c>
      <c r="CP44" s="7" t="b">
        <f t="shared" si="59"/>
        <v>1</v>
      </c>
      <c r="CQ44" s="7" t="b">
        <f t="shared" si="60"/>
        <v>1</v>
      </c>
      <c r="CR44" s="7" t="b">
        <f t="shared" si="61"/>
        <v>0</v>
      </c>
    </row>
    <row r="45" spans="1:96" s="7" customFormat="1" ht="70.5">
      <c r="A45" s="75">
        <f t="shared" si="26"/>
        <v>43</v>
      </c>
      <c r="B45" s="210" t="s">
        <v>1413</v>
      </c>
      <c r="C45" s="205" t="s">
        <v>1414</v>
      </c>
      <c r="D45" s="205" t="s">
        <v>1415</v>
      </c>
      <c r="E45" s="211" t="s">
        <v>1367</v>
      </c>
      <c r="F45" s="207">
        <v>200</v>
      </c>
      <c r="G45" s="205" t="s">
        <v>186</v>
      </c>
      <c r="H45" s="80" t="s">
        <v>1416</v>
      </c>
      <c r="I45" s="96">
        <v>22100</v>
      </c>
      <c r="J45" s="97"/>
      <c r="K45" s="97">
        <f t="shared" si="52"/>
        <v>22100</v>
      </c>
      <c r="L45" s="97">
        <f t="shared" si="36"/>
        <v>4420000</v>
      </c>
      <c r="M45" s="97">
        <f t="shared" si="37"/>
        <v>4420000</v>
      </c>
      <c r="N45" s="81" t="s">
        <v>1417</v>
      </c>
      <c r="O45" s="98">
        <v>22100</v>
      </c>
      <c r="P45" s="99"/>
      <c r="Q45" s="99">
        <f t="shared" si="38"/>
        <v>22100</v>
      </c>
      <c r="R45" s="99">
        <f t="shared" si="39"/>
        <v>4420000</v>
      </c>
      <c r="S45" s="99">
        <f t="shared" si="40"/>
        <v>4420000</v>
      </c>
      <c r="T45" s="76" t="s">
        <v>1418</v>
      </c>
      <c r="U45" s="100">
        <v>22100</v>
      </c>
      <c r="V45" s="101"/>
      <c r="W45" s="101">
        <f t="shared" si="42"/>
        <v>22100</v>
      </c>
      <c r="X45" s="101">
        <f t="shared" si="43"/>
        <v>4420000</v>
      </c>
      <c r="Y45" s="101">
        <f t="shared" si="44"/>
        <v>4420000</v>
      </c>
      <c r="Z45" s="102">
        <f t="shared" si="45"/>
        <v>22100</v>
      </c>
      <c r="AA45" s="102">
        <f t="shared" si="46"/>
        <v>4420000</v>
      </c>
      <c r="AB45" s="103">
        <f t="shared" si="47"/>
        <v>0</v>
      </c>
      <c r="AC45" s="77">
        <f t="shared" si="48"/>
        <v>0</v>
      </c>
      <c r="AD45" s="5"/>
      <c r="AF45" s="7" t="e">
        <f>IF(C45="","",VLOOKUP(C45,listaBolsa!$D$2:$BB$276,51,0))</f>
        <v>#N/A</v>
      </c>
      <c r="BG45" s="7">
        <v>43</v>
      </c>
      <c r="CA45" s="7" t="e">
        <f>VLOOKUP(C45,listaBolsa!$D$2:$BA$1248,1,0)</f>
        <v>#N/A</v>
      </c>
      <c r="CB45" s="7" t="e">
        <f>VLOOKUP(C45,listaBolsa!$D$2:$BA$1248,2,0)</f>
        <v>#N/A</v>
      </c>
      <c r="CC45" s="7" t="e">
        <f>VLOOKUP(C45,listaBolsa!$D$2:$BA$1248,10,0)</f>
        <v>#N/A</v>
      </c>
      <c r="CD45" s="7" t="e">
        <f>VLOOKUP(C45,listaBolsa!$D$2:$BA$1248,14,0)</f>
        <v>#N/A</v>
      </c>
      <c r="CE45" s="7" t="e">
        <f>VLOOKUP(C45,listaBolsa!$D$2:$BA$1248,23,0)</f>
        <v>#N/A</v>
      </c>
      <c r="CF45" s="7" t="e">
        <f>VLOOKUP(C45,listaBolsa!$D$2:$BA$1248,29,0)</f>
        <v>#N/A</v>
      </c>
      <c r="CG45" s="7" t="e">
        <f>VLOOKUP(C45,listaBolsa!$D$2:$BA$1248,36,0)</f>
        <v>#N/A</v>
      </c>
      <c r="CH45" s="7" t="e">
        <f>VLOOKUP(C45,listaBolsa!$D$2:$BA$1248,40,0)</f>
        <v>#N/A</v>
      </c>
      <c r="CI45" s="7" t="e">
        <f>VLOOKUP(C45,listaBolsa!$D$2:$BA$1248,48,0)</f>
        <v>#N/A</v>
      </c>
      <c r="CJ45" s="7" t="e">
        <f t="shared" si="53"/>
        <v>#N/A</v>
      </c>
      <c r="CK45" s="7" t="e">
        <f t="shared" si="54"/>
        <v>#N/A</v>
      </c>
      <c r="CL45" s="7" t="e">
        <f t="shared" si="55"/>
        <v>#N/A</v>
      </c>
      <c r="CM45" s="7" t="e">
        <f t="shared" si="56"/>
        <v>#N/A</v>
      </c>
      <c r="CN45" s="7" t="e">
        <f t="shared" si="57"/>
        <v>#N/A</v>
      </c>
      <c r="CO45" s="7" t="e">
        <f t="shared" si="58"/>
        <v>#N/A</v>
      </c>
      <c r="CP45" s="7" t="e">
        <f t="shared" si="59"/>
        <v>#N/A</v>
      </c>
      <c r="CQ45" s="7" t="e">
        <f t="shared" si="60"/>
        <v>#N/A</v>
      </c>
      <c r="CR45" s="7" t="e">
        <f t="shared" si="61"/>
        <v>#N/A</v>
      </c>
    </row>
    <row r="46" spans="1:96" s="7" customFormat="1" ht="409.6">
      <c r="A46" s="75">
        <f t="shared" si="26"/>
        <v>44</v>
      </c>
      <c r="B46" s="210" t="s">
        <v>1413</v>
      </c>
      <c r="C46" s="205" t="s">
        <v>1419</v>
      </c>
      <c r="D46" s="205" t="s">
        <v>1420</v>
      </c>
      <c r="E46" s="211" t="s">
        <v>185</v>
      </c>
      <c r="F46" s="207">
        <v>100</v>
      </c>
      <c r="G46" s="205" t="s">
        <v>1116</v>
      </c>
      <c r="H46" s="80" t="s">
        <v>1416</v>
      </c>
      <c r="I46" s="96">
        <v>1368907.56</v>
      </c>
      <c r="J46" s="97">
        <f>I46*19%</f>
        <v>260092.43640000001</v>
      </c>
      <c r="K46" s="97">
        <f t="shared" si="52"/>
        <v>1628999.9964000001</v>
      </c>
      <c r="L46" s="97">
        <f t="shared" si="36"/>
        <v>136890756</v>
      </c>
      <c r="M46" s="97">
        <f t="shared" si="37"/>
        <v>162899999.64000002</v>
      </c>
      <c r="N46" s="81" t="s">
        <v>1417</v>
      </c>
      <c r="O46" s="98">
        <v>1430225.21</v>
      </c>
      <c r="P46" s="99">
        <f>O46*19%</f>
        <v>271742.78989999997</v>
      </c>
      <c r="Q46" s="99">
        <f t="shared" si="38"/>
        <v>1701967.9998999999</v>
      </c>
      <c r="R46" s="99">
        <f t="shared" si="39"/>
        <v>143022521</v>
      </c>
      <c r="S46" s="99">
        <f t="shared" si="40"/>
        <v>170196799.98999998</v>
      </c>
      <c r="T46" s="76"/>
      <c r="U46" s="100"/>
      <c r="V46" s="101"/>
      <c r="W46" s="101"/>
      <c r="X46" s="101"/>
      <c r="Y46" s="101"/>
      <c r="Z46" s="102">
        <f t="shared" si="45"/>
        <v>1665484</v>
      </c>
      <c r="AA46" s="102">
        <f t="shared" si="46"/>
        <v>166548400</v>
      </c>
      <c r="AB46" s="103">
        <f t="shared" si="47"/>
        <v>5159617</v>
      </c>
      <c r="AC46" s="77">
        <f t="shared" si="48"/>
        <v>3.0979685184606996E-2</v>
      </c>
      <c r="AD46" s="5"/>
      <c r="AF46" s="7" t="e">
        <f>IF(C46="","",VLOOKUP(C46,listaBolsa!$D$2:$BB$276,51,0))</f>
        <v>#N/A</v>
      </c>
      <c r="BG46" s="7">
        <v>44</v>
      </c>
      <c r="CA46" s="7" t="e">
        <f>VLOOKUP(C46,listaBolsa!$D$2:$BA$1248,1,0)</f>
        <v>#N/A</v>
      </c>
      <c r="CB46" s="7" t="e">
        <f>VLOOKUP(C46,listaBolsa!$D$2:$BA$1248,2,0)</f>
        <v>#N/A</v>
      </c>
      <c r="CC46" s="7" t="e">
        <f>VLOOKUP(C46,listaBolsa!$D$2:$BA$1248,10,0)</f>
        <v>#N/A</v>
      </c>
      <c r="CD46" s="7" t="e">
        <f>VLOOKUP(C46,listaBolsa!$D$2:$BA$1248,14,0)</f>
        <v>#N/A</v>
      </c>
      <c r="CE46" s="7" t="e">
        <f>VLOOKUP(C46,listaBolsa!$D$2:$BA$1248,23,0)</f>
        <v>#N/A</v>
      </c>
      <c r="CF46" s="7" t="e">
        <f>VLOOKUP(C46,listaBolsa!$D$2:$BA$1248,29,0)</f>
        <v>#N/A</v>
      </c>
      <c r="CG46" s="7" t="e">
        <f>VLOOKUP(C46,listaBolsa!$D$2:$BA$1248,36,0)</f>
        <v>#N/A</v>
      </c>
      <c r="CH46" s="7" t="e">
        <f>VLOOKUP(C46,listaBolsa!$D$2:$BA$1248,40,0)</f>
        <v>#N/A</v>
      </c>
      <c r="CI46" s="7" t="e">
        <f>VLOOKUP(C46,listaBolsa!$D$2:$BA$1248,48,0)</f>
        <v>#N/A</v>
      </c>
      <c r="CJ46" s="7" t="e">
        <f t="shared" si="53"/>
        <v>#N/A</v>
      </c>
      <c r="CK46" s="7" t="e">
        <f t="shared" si="54"/>
        <v>#N/A</v>
      </c>
      <c r="CL46" s="7" t="e">
        <f t="shared" si="55"/>
        <v>#N/A</v>
      </c>
      <c r="CM46" s="7" t="e">
        <f t="shared" si="56"/>
        <v>#N/A</v>
      </c>
      <c r="CN46" s="7" t="e">
        <f t="shared" si="57"/>
        <v>#N/A</v>
      </c>
      <c r="CO46" s="7" t="e">
        <f t="shared" si="58"/>
        <v>#N/A</v>
      </c>
      <c r="CP46" s="7" t="e">
        <f t="shared" si="59"/>
        <v>#N/A</v>
      </c>
      <c r="CQ46" s="7" t="e">
        <f t="shared" si="60"/>
        <v>#N/A</v>
      </c>
      <c r="CR46" s="7" t="e">
        <f t="shared" si="61"/>
        <v>#N/A</v>
      </c>
    </row>
    <row r="47" spans="1:96" s="7" customFormat="1" ht="408">
      <c r="A47" s="75">
        <f t="shared" si="26"/>
        <v>45</v>
      </c>
      <c r="B47" s="210" t="s">
        <v>1413</v>
      </c>
      <c r="C47" s="205" t="s">
        <v>1421</v>
      </c>
      <c r="D47" s="205" t="s">
        <v>1422</v>
      </c>
      <c r="E47" s="211" t="s">
        <v>185</v>
      </c>
      <c r="F47" s="207">
        <v>100</v>
      </c>
      <c r="G47" s="205" t="s">
        <v>1116</v>
      </c>
      <c r="H47" s="80" t="s">
        <v>1416</v>
      </c>
      <c r="I47" s="96">
        <v>1793277.31</v>
      </c>
      <c r="J47" s="97">
        <f>I47*19%</f>
        <v>340722.68890000001</v>
      </c>
      <c r="K47" s="97">
        <f t="shared" si="52"/>
        <v>2133999.9989</v>
      </c>
      <c r="L47" s="97">
        <f t="shared" si="36"/>
        <v>179327731</v>
      </c>
      <c r="M47" s="97">
        <f t="shared" si="37"/>
        <v>213399999.88999999</v>
      </c>
      <c r="N47" s="81" t="s">
        <v>1417</v>
      </c>
      <c r="O47" s="98">
        <v>2227897.48</v>
      </c>
      <c r="P47" s="99">
        <f>O47*19%</f>
        <v>423300.52120000002</v>
      </c>
      <c r="Q47" s="99">
        <f t="shared" si="38"/>
        <v>2651198.0011999998</v>
      </c>
      <c r="R47" s="99">
        <f t="shared" si="39"/>
        <v>222789748</v>
      </c>
      <c r="S47" s="99">
        <f t="shared" si="40"/>
        <v>265119800.11999997</v>
      </c>
      <c r="T47" s="76"/>
      <c r="U47" s="100"/>
      <c r="V47" s="101"/>
      <c r="W47" s="101"/>
      <c r="X47" s="101"/>
      <c r="Y47" s="101"/>
      <c r="Z47" s="102">
        <f t="shared" si="45"/>
        <v>2392599</v>
      </c>
      <c r="AA47" s="102">
        <f t="shared" si="46"/>
        <v>239259900</v>
      </c>
      <c r="AB47" s="103">
        <f t="shared" si="47"/>
        <v>36571421</v>
      </c>
      <c r="AC47" s="77">
        <f t="shared" si="48"/>
        <v>0.15285227904885024</v>
      </c>
      <c r="AD47" s="5"/>
      <c r="AF47" s="7" t="e">
        <f>IF(C47="","",VLOOKUP(C47,listaBolsa!$D$2:$BB$276,51,0))</f>
        <v>#N/A</v>
      </c>
      <c r="BG47" s="7">
        <v>45</v>
      </c>
      <c r="CA47" s="7" t="e">
        <f>VLOOKUP(C47,listaBolsa!$D$2:$BA$1248,1,0)</f>
        <v>#N/A</v>
      </c>
      <c r="CB47" s="7" t="e">
        <f>VLOOKUP(C47,listaBolsa!$D$2:$BA$1248,2,0)</f>
        <v>#N/A</v>
      </c>
      <c r="CC47" s="7" t="e">
        <f>VLOOKUP(C47,listaBolsa!$D$2:$BA$1248,10,0)</f>
        <v>#N/A</v>
      </c>
      <c r="CD47" s="7" t="e">
        <f>VLOOKUP(C47,listaBolsa!$D$2:$BA$1248,14,0)</f>
        <v>#N/A</v>
      </c>
      <c r="CE47" s="7" t="e">
        <f>VLOOKUP(C47,listaBolsa!$D$2:$BA$1248,23,0)</f>
        <v>#N/A</v>
      </c>
      <c r="CF47" s="7" t="e">
        <f>VLOOKUP(C47,listaBolsa!$D$2:$BA$1248,29,0)</f>
        <v>#N/A</v>
      </c>
      <c r="CG47" s="7" t="e">
        <f>VLOOKUP(C47,listaBolsa!$D$2:$BA$1248,36,0)</f>
        <v>#N/A</v>
      </c>
      <c r="CH47" s="7" t="e">
        <f>VLOOKUP(C47,listaBolsa!$D$2:$BA$1248,40,0)</f>
        <v>#N/A</v>
      </c>
      <c r="CI47" s="7" t="e">
        <f>VLOOKUP(C47,listaBolsa!$D$2:$BA$1248,48,0)</f>
        <v>#N/A</v>
      </c>
      <c r="CJ47" s="7" t="e">
        <f t="shared" si="53"/>
        <v>#N/A</v>
      </c>
      <c r="CK47" s="7" t="e">
        <f t="shared" si="54"/>
        <v>#N/A</v>
      </c>
      <c r="CL47" s="7" t="e">
        <f t="shared" si="55"/>
        <v>#N/A</v>
      </c>
      <c r="CM47" s="7" t="e">
        <f t="shared" si="56"/>
        <v>#N/A</v>
      </c>
      <c r="CN47" s="7" t="e">
        <f t="shared" si="57"/>
        <v>#N/A</v>
      </c>
      <c r="CO47" s="7" t="e">
        <f t="shared" si="58"/>
        <v>#N/A</v>
      </c>
      <c r="CP47" s="7" t="e">
        <f t="shared" si="59"/>
        <v>#N/A</v>
      </c>
      <c r="CQ47" s="7" t="e">
        <f t="shared" si="60"/>
        <v>#N/A</v>
      </c>
      <c r="CR47" s="7" t="e">
        <f t="shared" si="61"/>
        <v>#N/A</v>
      </c>
    </row>
    <row r="48" spans="1:96" s="7" customFormat="1" ht="409.6">
      <c r="A48" s="75">
        <f t="shared" si="26"/>
        <v>46</v>
      </c>
      <c r="B48" s="210" t="s">
        <v>1413</v>
      </c>
      <c r="C48" s="205" t="s">
        <v>1423</v>
      </c>
      <c r="D48" s="205" t="s">
        <v>1424</v>
      </c>
      <c r="E48" s="211" t="s">
        <v>185</v>
      </c>
      <c r="F48" s="207">
        <v>50</v>
      </c>
      <c r="G48" s="205" t="s">
        <v>1116</v>
      </c>
      <c r="H48" s="80" t="s">
        <v>1425</v>
      </c>
      <c r="I48" s="96">
        <v>1361344.54</v>
      </c>
      <c r="J48" s="97">
        <f>I48*19%</f>
        <v>258655.4626</v>
      </c>
      <c r="K48" s="97">
        <f t="shared" si="52"/>
        <v>1620000.0026</v>
      </c>
      <c r="L48" s="97">
        <f t="shared" si="36"/>
        <v>68067227</v>
      </c>
      <c r="M48" s="97">
        <f t="shared" si="37"/>
        <v>81000000.129999995</v>
      </c>
      <c r="N48" s="81" t="s">
        <v>1417</v>
      </c>
      <c r="O48" s="98">
        <v>1411764.71</v>
      </c>
      <c r="P48" s="99">
        <f>O48*19%</f>
        <v>268235.29489999998</v>
      </c>
      <c r="Q48" s="99">
        <f t="shared" si="38"/>
        <v>1680000.0049000001</v>
      </c>
      <c r="R48" s="99">
        <f t="shared" si="39"/>
        <v>70588235.5</v>
      </c>
      <c r="S48" s="99">
        <f t="shared" si="40"/>
        <v>84000000.245000005</v>
      </c>
      <c r="T48" s="76"/>
      <c r="U48" s="100"/>
      <c r="V48" s="101"/>
      <c r="W48" s="101"/>
      <c r="X48" s="101"/>
      <c r="Y48" s="101"/>
      <c r="Z48" s="102">
        <f t="shared" si="45"/>
        <v>1650000</v>
      </c>
      <c r="AA48" s="102">
        <f t="shared" si="46"/>
        <v>82500000</v>
      </c>
      <c r="AB48" s="103">
        <f t="shared" si="47"/>
        <v>2121320</v>
      </c>
      <c r="AC48" s="77">
        <f t="shared" si="48"/>
        <v>2.5712969696969696E-2</v>
      </c>
      <c r="AD48" s="5"/>
      <c r="AF48" s="7" t="e">
        <f>IF(C48="","",VLOOKUP(C48,listaBolsa!$D$2:$BB$276,51,0))</f>
        <v>#N/A</v>
      </c>
      <c r="BG48" s="7">
        <v>46</v>
      </c>
      <c r="CA48" s="7" t="e">
        <f>VLOOKUP(C48,listaBolsa!$D$2:$BA$1248,1,0)</f>
        <v>#N/A</v>
      </c>
      <c r="CB48" s="7" t="e">
        <f>VLOOKUP(C48,listaBolsa!$D$2:$BA$1248,2,0)</f>
        <v>#N/A</v>
      </c>
      <c r="CC48" s="7" t="e">
        <f>VLOOKUP(C48,listaBolsa!$D$2:$BA$1248,10,0)</f>
        <v>#N/A</v>
      </c>
      <c r="CD48" s="7" t="e">
        <f>VLOOKUP(C48,listaBolsa!$D$2:$BA$1248,14,0)</f>
        <v>#N/A</v>
      </c>
      <c r="CE48" s="7" t="e">
        <f>VLOOKUP(C48,listaBolsa!$D$2:$BA$1248,23,0)</f>
        <v>#N/A</v>
      </c>
      <c r="CF48" s="7" t="e">
        <f>VLOOKUP(C48,listaBolsa!$D$2:$BA$1248,29,0)</f>
        <v>#N/A</v>
      </c>
      <c r="CG48" s="7" t="e">
        <f>VLOOKUP(C48,listaBolsa!$D$2:$BA$1248,36,0)</f>
        <v>#N/A</v>
      </c>
      <c r="CH48" s="7" t="e">
        <f>VLOOKUP(C48,listaBolsa!$D$2:$BA$1248,40,0)</f>
        <v>#N/A</v>
      </c>
      <c r="CI48" s="7" t="e">
        <f>VLOOKUP(C48,listaBolsa!$D$2:$BA$1248,48,0)</f>
        <v>#N/A</v>
      </c>
      <c r="CJ48" s="7" t="e">
        <f t="shared" si="53"/>
        <v>#N/A</v>
      </c>
      <c r="CK48" s="7" t="e">
        <f t="shared" si="54"/>
        <v>#N/A</v>
      </c>
      <c r="CL48" s="7" t="e">
        <f t="shared" si="55"/>
        <v>#N/A</v>
      </c>
      <c r="CM48" s="7" t="e">
        <f t="shared" si="56"/>
        <v>#N/A</v>
      </c>
      <c r="CN48" s="7" t="e">
        <f t="shared" si="57"/>
        <v>#N/A</v>
      </c>
      <c r="CO48" s="7" t="e">
        <f t="shared" si="58"/>
        <v>#N/A</v>
      </c>
      <c r="CP48" s="7" t="e">
        <f t="shared" si="59"/>
        <v>#N/A</v>
      </c>
      <c r="CQ48" s="7" t="e">
        <f t="shared" si="60"/>
        <v>#N/A</v>
      </c>
      <c r="CR48" s="7" t="e">
        <f t="shared" si="61"/>
        <v>#N/A</v>
      </c>
    </row>
    <row r="49" spans="1:96" s="7" customFormat="1" ht="69.75">
      <c r="A49" s="75">
        <f t="shared" si="26"/>
        <v>47</v>
      </c>
      <c r="B49" s="210" t="s">
        <v>1413</v>
      </c>
      <c r="C49" s="205" t="s">
        <v>1426</v>
      </c>
      <c r="D49" s="205" t="s">
        <v>1427</v>
      </c>
      <c r="E49" s="211" t="s">
        <v>185</v>
      </c>
      <c r="F49" s="207">
        <v>100</v>
      </c>
      <c r="G49" s="205" t="s">
        <v>186</v>
      </c>
      <c r="H49" s="80" t="s">
        <v>1428</v>
      </c>
      <c r="I49" s="96">
        <v>272000</v>
      </c>
      <c r="J49" s="97"/>
      <c r="K49" s="97">
        <f t="shared" si="52"/>
        <v>272000</v>
      </c>
      <c r="L49" s="97">
        <f t="shared" si="36"/>
        <v>27200000</v>
      </c>
      <c r="M49" s="97">
        <f t="shared" si="37"/>
        <v>27200000</v>
      </c>
      <c r="N49" s="81" t="s">
        <v>1417</v>
      </c>
      <c r="O49" s="98">
        <v>272700</v>
      </c>
      <c r="P49" s="99"/>
      <c r="Q49" s="99">
        <f t="shared" si="38"/>
        <v>272700</v>
      </c>
      <c r="R49" s="99">
        <f t="shared" si="39"/>
        <v>27270000</v>
      </c>
      <c r="S49" s="99">
        <f t="shared" si="40"/>
        <v>27270000</v>
      </c>
      <c r="T49" s="76"/>
      <c r="U49" s="100"/>
      <c r="V49" s="101"/>
      <c r="W49" s="101"/>
      <c r="X49" s="101"/>
      <c r="Y49" s="101"/>
      <c r="Z49" s="102">
        <f t="shared" si="45"/>
        <v>272350</v>
      </c>
      <c r="AA49" s="102">
        <f t="shared" si="46"/>
        <v>27235000</v>
      </c>
      <c r="AB49" s="103">
        <f t="shared" si="47"/>
        <v>49497</v>
      </c>
      <c r="AC49" s="77">
        <f t="shared" si="48"/>
        <v>1.8174040756379658E-3</v>
      </c>
      <c r="AD49" s="5"/>
      <c r="AF49" s="7" t="e">
        <f>IF(C49="","",VLOOKUP(C49,listaBolsa!$D$2:$BB$276,51,0))</f>
        <v>#N/A</v>
      </c>
      <c r="BG49" s="7">
        <v>47</v>
      </c>
      <c r="CA49" s="7" t="e">
        <f>VLOOKUP(C49,listaBolsa!$D$2:$BA$1248,1,0)</f>
        <v>#N/A</v>
      </c>
      <c r="CB49" s="7" t="e">
        <f>VLOOKUP(C49,listaBolsa!$D$2:$BA$1248,2,0)</f>
        <v>#N/A</v>
      </c>
      <c r="CC49" s="7" t="e">
        <f>VLOOKUP(C49,listaBolsa!$D$2:$BA$1248,10,0)</f>
        <v>#N/A</v>
      </c>
      <c r="CD49" s="7" t="e">
        <f>VLOOKUP(C49,listaBolsa!$D$2:$BA$1248,14,0)</f>
        <v>#N/A</v>
      </c>
      <c r="CE49" s="7" t="e">
        <f>VLOOKUP(C49,listaBolsa!$D$2:$BA$1248,23,0)</f>
        <v>#N/A</v>
      </c>
      <c r="CF49" s="7" t="e">
        <f>VLOOKUP(C49,listaBolsa!$D$2:$BA$1248,29,0)</f>
        <v>#N/A</v>
      </c>
      <c r="CG49" s="7" t="e">
        <f>VLOOKUP(C49,listaBolsa!$D$2:$BA$1248,36,0)</f>
        <v>#N/A</v>
      </c>
      <c r="CH49" s="7" t="e">
        <f>VLOOKUP(C49,listaBolsa!$D$2:$BA$1248,40,0)</f>
        <v>#N/A</v>
      </c>
      <c r="CI49" s="7" t="e">
        <f>VLOOKUP(C49,listaBolsa!$D$2:$BA$1248,48,0)</f>
        <v>#N/A</v>
      </c>
      <c r="CJ49" s="7" t="e">
        <f t="shared" si="53"/>
        <v>#N/A</v>
      </c>
      <c r="CK49" s="7" t="e">
        <f t="shared" si="54"/>
        <v>#N/A</v>
      </c>
      <c r="CL49" s="7" t="e">
        <f t="shared" si="55"/>
        <v>#N/A</v>
      </c>
      <c r="CM49" s="7" t="e">
        <f t="shared" si="56"/>
        <v>#N/A</v>
      </c>
      <c r="CN49" s="7" t="e">
        <f t="shared" si="57"/>
        <v>#N/A</v>
      </c>
      <c r="CO49" s="7" t="e">
        <f t="shared" si="58"/>
        <v>#N/A</v>
      </c>
      <c r="CP49" s="7" t="e">
        <f t="shared" si="59"/>
        <v>#N/A</v>
      </c>
      <c r="CQ49" s="7" t="e">
        <f t="shared" si="60"/>
        <v>#N/A</v>
      </c>
      <c r="CR49" s="7" t="e">
        <f t="shared" si="61"/>
        <v>#N/A</v>
      </c>
    </row>
    <row r="50" spans="1:96" s="7" customFormat="1" ht="69.75">
      <c r="A50" s="75">
        <f t="shared" si="26"/>
        <v>48</v>
      </c>
      <c r="B50" s="210" t="s">
        <v>1413</v>
      </c>
      <c r="C50" s="205" t="s">
        <v>1429</v>
      </c>
      <c r="D50" s="205" t="s">
        <v>1430</v>
      </c>
      <c r="E50" s="211" t="s">
        <v>185</v>
      </c>
      <c r="F50" s="207">
        <v>100</v>
      </c>
      <c r="G50" s="205" t="s">
        <v>186</v>
      </c>
      <c r="H50" s="80" t="s">
        <v>1428</v>
      </c>
      <c r="I50" s="96">
        <v>330000</v>
      </c>
      <c r="J50" s="97"/>
      <c r="K50" s="97">
        <f t="shared" si="52"/>
        <v>330000</v>
      </c>
      <c r="L50" s="97">
        <f t="shared" si="36"/>
        <v>33000000</v>
      </c>
      <c r="M50" s="97">
        <f t="shared" si="37"/>
        <v>33000000</v>
      </c>
      <c r="N50" s="81" t="s">
        <v>1417</v>
      </c>
      <c r="O50" s="98">
        <v>329800</v>
      </c>
      <c r="P50" s="99"/>
      <c r="Q50" s="99">
        <f t="shared" si="38"/>
        <v>329800</v>
      </c>
      <c r="R50" s="99">
        <f t="shared" si="39"/>
        <v>32980000</v>
      </c>
      <c r="S50" s="99">
        <f t="shared" si="40"/>
        <v>32980000</v>
      </c>
      <c r="T50" s="76"/>
      <c r="U50" s="100"/>
      <c r="V50" s="101"/>
      <c r="W50" s="101"/>
      <c r="X50" s="101"/>
      <c r="Y50" s="101"/>
      <c r="Z50" s="102">
        <f t="shared" si="45"/>
        <v>329900</v>
      </c>
      <c r="AA50" s="102">
        <f t="shared" si="46"/>
        <v>32990000</v>
      </c>
      <c r="AB50" s="103">
        <f t="shared" si="47"/>
        <v>14142</v>
      </c>
      <c r="AC50" s="77">
        <f t="shared" si="48"/>
        <v>4.2867535616853591E-4</v>
      </c>
      <c r="AD50" s="5"/>
      <c r="AF50" s="7" t="e">
        <f>IF(C50="","",VLOOKUP(C50,listaBolsa!$D$2:$BB$276,51,0))</f>
        <v>#N/A</v>
      </c>
      <c r="BG50" s="7">
        <v>48</v>
      </c>
      <c r="CA50" s="7" t="e">
        <f>VLOOKUP(C50,listaBolsa!$D$2:$BA$1248,1,0)</f>
        <v>#N/A</v>
      </c>
      <c r="CB50" s="7" t="e">
        <f>VLOOKUP(C50,listaBolsa!$D$2:$BA$1248,2,0)</f>
        <v>#N/A</v>
      </c>
      <c r="CC50" s="7" t="e">
        <f>VLOOKUP(C50,listaBolsa!$D$2:$BA$1248,10,0)</f>
        <v>#N/A</v>
      </c>
      <c r="CD50" s="7" t="e">
        <f>VLOOKUP(C50,listaBolsa!$D$2:$BA$1248,14,0)</f>
        <v>#N/A</v>
      </c>
      <c r="CE50" s="7" t="e">
        <f>VLOOKUP(C50,listaBolsa!$D$2:$BA$1248,23,0)</f>
        <v>#N/A</v>
      </c>
      <c r="CF50" s="7" t="e">
        <f>VLOOKUP(C50,listaBolsa!$D$2:$BA$1248,29,0)</f>
        <v>#N/A</v>
      </c>
      <c r="CG50" s="7" t="e">
        <f>VLOOKUP(C50,listaBolsa!$D$2:$BA$1248,36,0)</f>
        <v>#N/A</v>
      </c>
      <c r="CH50" s="7" t="e">
        <f>VLOOKUP(C50,listaBolsa!$D$2:$BA$1248,40,0)</f>
        <v>#N/A</v>
      </c>
      <c r="CI50" s="7" t="e">
        <f>VLOOKUP(C50,listaBolsa!$D$2:$BA$1248,48,0)</f>
        <v>#N/A</v>
      </c>
      <c r="CJ50" s="7" t="e">
        <f t="shared" si="53"/>
        <v>#N/A</v>
      </c>
      <c r="CK50" s="7" t="e">
        <f t="shared" si="54"/>
        <v>#N/A</v>
      </c>
      <c r="CL50" s="7" t="e">
        <f t="shared" si="55"/>
        <v>#N/A</v>
      </c>
      <c r="CM50" s="7" t="e">
        <f t="shared" si="56"/>
        <v>#N/A</v>
      </c>
      <c r="CN50" s="7" t="e">
        <f t="shared" si="57"/>
        <v>#N/A</v>
      </c>
      <c r="CO50" s="7" t="e">
        <f t="shared" si="58"/>
        <v>#N/A</v>
      </c>
      <c r="CP50" s="7" t="e">
        <f t="shared" si="59"/>
        <v>#N/A</v>
      </c>
      <c r="CQ50" s="7" t="e">
        <f t="shared" si="60"/>
        <v>#N/A</v>
      </c>
      <c r="CR50" s="7" t="e">
        <f t="shared" si="61"/>
        <v>#N/A</v>
      </c>
    </row>
    <row r="51" spans="1:96" s="7" customFormat="1" ht="69.75">
      <c r="A51" s="75">
        <f t="shared" si="26"/>
        <v>49</v>
      </c>
      <c r="B51" s="210" t="s">
        <v>1413</v>
      </c>
      <c r="C51" s="205" t="s">
        <v>1431</v>
      </c>
      <c r="D51" s="205" t="s">
        <v>1432</v>
      </c>
      <c r="E51" s="211" t="s">
        <v>185</v>
      </c>
      <c r="F51" s="207">
        <v>50</v>
      </c>
      <c r="G51" s="205" t="s">
        <v>186</v>
      </c>
      <c r="H51" s="80" t="s">
        <v>1433</v>
      </c>
      <c r="I51" s="96">
        <v>329900</v>
      </c>
      <c r="J51" s="97"/>
      <c r="K51" s="97">
        <f t="shared" si="52"/>
        <v>329900</v>
      </c>
      <c r="L51" s="97">
        <f t="shared" si="36"/>
        <v>16495000</v>
      </c>
      <c r="M51" s="97">
        <f t="shared" si="37"/>
        <v>16495000</v>
      </c>
      <c r="N51" s="81" t="s">
        <v>1434</v>
      </c>
      <c r="O51" s="98">
        <v>266400</v>
      </c>
      <c r="P51" s="99"/>
      <c r="Q51" s="99">
        <f t="shared" si="38"/>
        <v>266400</v>
      </c>
      <c r="R51" s="99">
        <f t="shared" si="39"/>
        <v>13320000</v>
      </c>
      <c r="S51" s="99">
        <f t="shared" si="40"/>
        <v>13320000</v>
      </c>
      <c r="T51" s="76"/>
      <c r="U51" s="100"/>
      <c r="V51" s="101"/>
      <c r="W51" s="101"/>
      <c r="X51" s="101"/>
      <c r="Y51" s="101"/>
      <c r="Z51" s="102">
        <f t="shared" si="45"/>
        <v>298150</v>
      </c>
      <c r="AA51" s="102">
        <f t="shared" si="46"/>
        <v>14907500</v>
      </c>
      <c r="AB51" s="103">
        <f t="shared" si="47"/>
        <v>2245064</v>
      </c>
      <c r="AC51" s="77">
        <f t="shared" si="48"/>
        <v>0.15059963105819218</v>
      </c>
      <c r="AD51" s="5"/>
      <c r="AF51" s="7" t="e">
        <f>IF(C51="","",VLOOKUP(C51,listaBolsa!$D$2:$BB$276,51,0))</f>
        <v>#N/A</v>
      </c>
      <c r="BG51" s="7">
        <v>49</v>
      </c>
      <c r="CA51" s="7" t="e">
        <f>VLOOKUP(C51,listaBolsa!$D$2:$BA$1248,1,0)</f>
        <v>#N/A</v>
      </c>
      <c r="CB51" s="7" t="e">
        <f>VLOOKUP(C51,listaBolsa!$D$2:$BA$1248,2,0)</f>
        <v>#N/A</v>
      </c>
      <c r="CC51" s="7" t="e">
        <f>VLOOKUP(C51,listaBolsa!$D$2:$BA$1248,10,0)</f>
        <v>#N/A</v>
      </c>
      <c r="CD51" s="7" t="e">
        <f>VLOOKUP(C51,listaBolsa!$D$2:$BA$1248,14,0)</f>
        <v>#N/A</v>
      </c>
      <c r="CE51" s="7" t="e">
        <f>VLOOKUP(C51,listaBolsa!$D$2:$BA$1248,23,0)</f>
        <v>#N/A</v>
      </c>
      <c r="CF51" s="7" t="e">
        <f>VLOOKUP(C51,listaBolsa!$D$2:$BA$1248,29,0)</f>
        <v>#N/A</v>
      </c>
      <c r="CG51" s="7" t="e">
        <f>VLOOKUP(C51,listaBolsa!$D$2:$BA$1248,36,0)</f>
        <v>#N/A</v>
      </c>
      <c r="CH51" s="7" t="e">
        <f>VLOOKUP(C51,listaBolsa!$D$2:$BA$1248,40,0)</f>
        <v>#N/A</v>
      </c>
      <c r="CI51" s="7" t="e">
        <f>VLOOKUP(C51,listaBolsa!$D$2:$BA$1248,48,0)</f>
        <v>#N/A</v>
      </c>
      <c r="CJ51" s="7" t="e">
        <f t="shared" si="53"/>
        <v>#N/A</v>
      </c>
      <c r="CK51" s="7" t="e">
        <f t="shared" si="54"/>
        <v>#N/A</v>
      </c>
      <c r="CL51" s="7" t="e">
        <f t="shared" si="55"/>
        <v>#N/A</v>
      </c>
      <c r="CM51" s="7" t="e">
        <f t="shared" si="56"/>
        <v>#N/A</v>
      </c>
      <c r="CN51" s="7" t="e">
        <f t="shared" si="57"/>
        <v>#N/A</v>
      </c>
      <c r="CO51" s="7" t="e">
        <f t="shared" si="58"/>
        <v>#N/A</v>
      </c>
      <c r="CP51" s="7" t="e">
        <f t="shared" si="59"/>
        <v>#N/A</v>
      </c>
      <c r="CQ51" s="7" t="e">
        <f t="shared" si="60"/>
        <v>#N/A</v>
      </c>
      <c r="CR51" s="7" t="e">
        <f t="shared" si="61"/>
        <v>#N/A</v>
      </c>
    </row>
    <row r="52" spans="1:96" s="7" customFormat="1" ht="405">
      <c r="A52" s="75">
        <f t="shared" si="26"/>
        <v>50</v>
      </c>
      <c r="B52" s="210" t="s">
        <v>1413</v>
      </c>
      <c r="C52" s="205" t="s">
        <v>449</v>
      </c>
      <c r="D52" s="205" t="s">
        <v>1435</v>
      </c>
      <c r="E52" s="211" t="s">
        <v>255</v>
      </c>
      <c r="F52" s="207">
        <v>1</v>
      </c>
      <c r="G52" s="205" t="s">
        <v>288</v>
      </c>
      <c r="H52" s="80"/>
      <c r="I52" s="96"/>
      <c r="J52" s="97"/>
      <c r="K52" s="97"/>
      <c r="L52" s="97"/>
      <c r="M52" s="97"/>
      <c r="N52" s="81" t="str">
        <f>IF(C52="","",VLOOKUP(C52,listaBolsa!$D$2:$AZ$1276,23,0))</f>
        <v>Estimación de precios con base en el proceso FDLSUBA-LP-013-2025 (140689) – Contrato 1000 – 2025, indexando el incremento de precios en el mercado con base en el Índice de Precios al Consumidor (IPC) para el mes de marzo de 2026, el cual fue de 5,56%.</v>
      </c>
      <c r="O52" s="98" t="str">
        <f>IF(C52="","",VLOOKUP(C52,listaBolsa!$D$2:$AZ$1276,27,0))</f>
        <v>OPERADOR LOGÍSTICO</v>
      </c>
      <c r="P52" s="98" t="str">
        <f>$O$52</f>
        <v>OPERADOR LOGÍSTICO</v>
      </c>
      <c r="Q52" s="99">
        <v>3503882</v>
      </c>
      <c r="R52" s="99">
        <v>665738</v>
      </c>
      <c r="S52" s="99">
        <v>4169620</v>
      </c>
      <c r="T52" s="76" t="str">
        <f>IF(C52="","",VLOOKUP(C52,listaBolsa!$D$2:$BB$1276,36,0))</f>
        <v>FUNCAS</v>
      </c>
      <c r="U52" s="100">
        <f>IF(C52="","",VLOOKUP(C52,listaBolsa!$D$2:$BB$1276,40,0))</f>
        <v>3402311</v>
      </c>
      <c r="V52" s="101">
        <f t="shared" si="41"/>
        <v>646439.09</v>
      </c>
      <c r="W52" s="101">
        <f t="shared" si="42"/>
        <v>4048750.09</v>
      </c>
      <c r="X52" s="101">
        <f t="shared" si="43"/>
        <v>3402311</v>
      </c>
      <c r="Y52" s="101">
        <f t="shared" si="44"/>
        <v>4048750.09</v>
      </c>
      <c r="Z52" s="102">
        <f t="shared" si="45"/>
        <v>3776316</v>
      </c>
      <c r="AA52" s="102">
        <f t="shared" si="46"/>
        <v>3776316</v>
      </c>
      <c r="AB52" s="103">
        <f t="shared" si="47"/>
        <v>85468</v>
      </c>
      <c r="AC52" s="77">
        <f t="shared" si="48"/>
        <v>2.2632639853232623E-2</v>
      </c>
      <c r="AD52" s="5"/>
      <c r="AF52" s="7">
        <f>IF(C52="","",VLOOKUP(C52,listaBolsa!$D$2:$BB$276,51,0))</f>
        <v>0</v>
      </c>
      <c r="BG52" s="7">
        <v>50</v>
      </c>
      <c r="CA52" s="7" t="str">
        <f>VLOOKUP(C52,listaBolsa!$D$2:$BA$1248,1,0)</f>
        <v>Auditorio 500 personas</v>
      </c>
      <c r="CB52" s="7" t="str">
        <f>VLOOKUP(C52,listaBolsa!$D$2:$BA$1248,2,0)</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CC52" s="7">
        <f>VLOOKUP(C52,listaBolsa!$D$2:$BA$1248,10,0)</f>
        <v>0</v>
      </c>
      <c r="CD52" s="7" t="str">
        <f>VLOOKUP(C52,listaBolsa!$D$2:$BA$1248,14,0)</f>
        <v> </v>
      </c>
      <c r="CE52" s="7" t="str">
        <f>VLOOKUP(C52,listaBolsa!$D$2:$BA$1248,23,0)</f>
        <v>Estimación de precios con base en el proceso FDLSUBA-LP-013-2025 (140689) – Contrato 1000 – 2025, indexando el incremento de precios en el mercado con base en el Índice de Precios al Consumidor (IPC) para el mes de marzo de 2026, el cual fue de 5,56%.</v>
      </c>
      <c r="CF52" s="7">
        <f>VLOOKUP(C52,listaBolsa!$D$2:$BA$1248,29,0)</f>
        <v>3503882.3529411769</v>
      </c>
      <c r="CG52" s="7" t="str">
        <f>VLOOKUP(C52,listaBolsa!$D$2:$BA$1248,36,0)</f>
        <v>FUNCAS</v>
      </c>
      <c r="CH52" s="7">
        <f>VLOOKUP(C52,listaBolsa!$D$2:$BA$1248,40,0)</f>
        <v>3402311</v>
      </c>
      <c r="CI52" s="7">
        <f>VLOOKUP(C52,listaBolsa!$D$2:$BA$1248,48,0)</f>
        <v>2.0799999999999999E-2</v>
      </c>
      <c r="CJ52" s="7" t="b">
        <f t="shared" si="53"/>
        <v>1</v>
      </c>
      <c r="CK52" s="7" t="b">
        <f t="shared" si="54"/>
        <v>0</v>
      </c>
      <c r="CL52" s="7" t="b">
        <f t="shared" si="55"/>
        <v>1</v>
      </c>
      <c r="CM52" s="7" t="b">
        <f t="shared" si="56"/>
        <v>0</v>
      </c>
      <c r="CN52" s="7" t="b">
        <f t="shared" si="57"/>
        <v>1</v>
      </c>
      <c r="CO52" s="7" t="b">
        <f t="shared" si="58"/>
        <v>0</v>
      </c>
      <c r="CP52" s="7" t="b">
        <f t="shared" si="59"/>
        <v>1</v>
      </c>
      <c r="CQ52" s="7" t="b">
        <f t="shared" si="60"/>
        <v>1</v>
      </c>
      <c r="CR52" s="7" t="b">
        <f t="shared" si="61"/>
        <v>0</v>
      </c>
    </row>
    <row r="53" spans="1:96" s="7" customFormat="1" ht="105">
      <c r="A53" s="75">
        <f t="shared" si="26"/>
        <v>51</v>
      </c>
      <c r="B53" s="210" t="s">
        <v>1413</v>
      </c>
      <c r="C53" s="205" t="s">
        <v>665</v>
      </c>
      <c r="D53" s="205" t="s">
        <v>666</v>
      </c>
      <c r="E53" s="211" t="s">
        <v>270</v>
      </c>
      <c r="F53" s="207">
        <v>2</v>
      </c>
      <c r="G53" s="205" t="s">
        <v>1116</v>
      </c>
      <c r="H53" s="80" t="str">
        <f>IF(C53="","",VLOOKUP(C53,listaBolsa!$D$2:$W$1118,10,0))</f>
        <v>LOGISTBOX L&amp;L SAS</v>
      </c>
      <c r="I53" s="96">
        <f>IF(C53="","",VLOOKUP(C53,listaBolsa!$D$2:$W$1118,14,0))</f>
        <v>766800</v>
      </c>
      <c r="J53" s="97"/>
      <c r="K53" s="97">
        <f t="shared" si="52"/>
        <v>766800</v>
      </c>
      <c r="L53" s="97">
        <f t="shared" si="36"/>
        <v>1533600</v>
      </c>
      <c r="M53" s="97">
        <f t="shared" si="37"/>
        <v>1533600</v>
      </c>
      <c r="N53" s="81" t="str">
        <f>IF(C53="","",VLOOKUP(C53,listaBolsa!$D$2:$AZ$1276,23,0))</f>
        <v>D&amp;R PRODUCCIONES SAS</v>
      </c>
      <c r="O53" s="98">
        <f>IF(C53="","",VLOOKUP(C53,listaBolsa!$D$2:$AZ$1276,27,0))</f>
        <v>1282500</v>
      </c>
      <c r="P53" s="99"/>
      <c r="Q53" s="99">
        <f t="shared" si="38"/>
        <v>1282500</v>
      </c>
      <c r="R53" s="99">
        <f t="shared" si="39"/>
        <v>2565000</v>
      </c>
      <c r="S53" s="99">
        <f t="shared" si="40"/>
        <v>2565000</v>
      </c>
      <c r="T53" s="76" t="str">
        <f>IF(C53="","",VLOOKUP(C53,listaBolsa!$D$2:$BB$1276,36,0))</f>
        <v>IMAGROUP COLOMBIA S.A.S</v>
      </c>
      <c r="U53" s="100">
        <f>IF(C53="","",VLOOKUP(C53,listaBolsa!$D$2:$BB$1276,40,0))</f>
        <v>1200000</v>
      </c>
      <c r="V53" s="101">
        <f t="shared" si="41"/>
        <v>228000</v>
      </c>
      <c r="W53" s="101">
        <f t="shared" si="42"/>
        <v>1428000</v>
      </c>
      <c r="X53" s="101">
        <f t="shared" si="43"/>
        <v>2400000</v>
      </c>
      <c r="Y53" s="101">
        <f t="shared" si="44"/>
        <v>2856000</v>
      </c>
      <c r="Z53" s="102">
        <f t="shared" si="45"/>
        <v>1159100</v>
      </c>
      <c r="AA53" s="102">
        <f t="shared" si="46"/>
        <v>2318200</v>
      </c>
      <c r="AB53" s="103">
        <f t="shared" si="47"/>
        <v>694887</v>
      </c>
      <c r="AC53" s="77">
        <f t="shared" si="48"/>
        <v>0.29975282546803556</v>
      </c>
      <c r="AD53" s="5"/>
      <c r="AF53" s="7" t="str">
        <f>IF(C53="","",VLOOKUP(C53,listaBolsa!$D$2:$BB$276,51,0))</f>
        <v>Primer ítem sin IVA  // Segundo ítem sin IVA</v>
      </c>
      <c r="BG53" s="7">
        <v>51</v>
      </c>
      <c r="CA53" s="7" t="str">
        <f>VLOOKUP(C53,listaBolsa!$D$2:$BA$1248,1,0)</f>
        <v>Estación de café tipo 2</v>
      </c>
      <c r="CB53" s="7" t="str">
        <f>VLOOKUP(C53,listaBolsa!$D$2:$BA$1248,2,0)</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CC53" s="7" t="str">
        <f>VLOOKUP(C53,listaBolsa!$D$2:$BA$1248,10,0)</f>
        <v>LOGISTBOX L&amp;L SAS</v>
      </c>
      <c r="CD53" s="7">
        <f>VLOOKUP(C53,listaBolsa!$D$2:$BA$1248,14,0)</f>
        <v>766800</v>
      </c>
      <c r="CE53" s="7" t="str">
        <f>VLOOKUP(C53,listaBolsa!$D$2:$BA$1248,23,0)</f>
        <v>D&amp;R PRODUCCIONES SAS</v>
      </c>
      <c r="CF53" s="7">
        <f>VLOOKUP(C53,listaBolsa!$D$2:$BA$1248,29,0)</f>
        <v>1282500</v>
      </c>
      <c r="CG53" s="7" t="str">
        <f>VLOOKUP(C53,listaBolsa!$D$2:$BA$1248,36,0)</f>
        <v>IMAGROUP COLOMBIA S.A.S</v>
      </c>
      <c r="CH53" s="7">
        <f>VLOOKUP(C53,listaBolsa!$D$2:$BA$1248,40,0)</f>
        <v>1200000</v>
      </c>
      <c r="CI53" s="7">
        <f>VLOOKUP(C53,listaBolsa!$D$2:$BA$1248,48,0)</f>
        <v>0.29975325683720128</v>
      </c>
      <c r="CJ53" s="7" t="b">
        <f t="shared" si="53"/>
        <v>1</v>
      </c>
      <c r="CK53" s="7" t="b">
        <f t="shared" si="54"/>
        <v>1</v>
      </c>
      <c r="CL53" s="7" t="b">
        <f t="shared" si="55"/>
        <v>1</v>
      </c>
      <c r="CM53" s="7" t="b">
        <f t="shared" si="56"/>
        <v>1</v>
      </c>
      <c r="CN53" s="7" t="b">
        <f t="shared" si="57"/>
        <v>1</v>
      </c>
      <c r="CO53" s="7" t="b">
        <f t="shared" si="58"/>
        <v>1</v>
      </c>
      <c r="CP53" s="7" t="b">
        <f t="shared" si="59"/>
        <v>1</v>
      </c>
      <c r="CQ53" s="7" t="b">
        <f t="shared" si="60"/>
        <v>1</v>
      </c>
      <c r="CR53" s="7" t="b">
        <f t="shared" si="61"/>
        <v>0</v>
      </c>
    </row>
    <row r="54" spans="1:96" s="7" customFormat="1" ht="75">
      <c r="A54" s="75">
        <f t="shared" si="26"/>
        <v>52</v>
      </c>
      <c r="B54" s="210" t="s">
        <v>1413</v>
      </c>
      <c r="C54" s="205" t="s">
        <v>589</v>
      </c>
      <c r="D54" s="205" t="s">
        <v>1436</v>
      </c>
      <c r="E54" s="211" t="s">
        <v>185</v>
      </c>
      <c r="F54" s="207">
        <v>250</v>
      </c>
      <c r="G54" s="205" t="s">
        <v>186</v>
      </c>
      <c r="H54" s="80" t="str">
        <f>IF(C54="","",VLOOKUP(C54,listaBolsa!$D$2:$W$1118,10,0))</f>
        <v>GUERRA EDITORES</v>
      </c>
      <c r="I54" s="96">
        <f>IF(C54="","",VLOOKUP(C54,listaBolsa!$D$2:$W$1118,14,0))</f>
        <v>2200</v>
      </c>
      <c r="J54" s="97">
        <f t="shared" si="51"/>
        <v>418</v>
      </c>
      <c r="K54" s="97">
        <f t="shared" si="52"/>
        <v>2618</v>
      </c>
      <c r="L54" s="97">
        <f t="shared" si="36"/>
        <v>550000</v>
      </c>
      <c r="M54" s="97">
        <f t="shared" si="37"/>
        <v>654500</v>
      </c>
      <c r="N54" s="81" t="str">
        <f>IF(C54="","",VLOOKUP(C54,listaBolsa!$D$2:$AZ$1276,23,0))</f>
        <v>SG DIGITAL S.A.S</v>
      </c>
      <c r="O54" s="98">
        <f>IF(C54="","",VLOOKUP(C54,listaBolsa!$D$2:$AZ$1276,27,0))</f>
        <v>2689.0756302521008</v>
      </c>
      <c r="P54" s="99">
        <f t="shared" si="50"/>
        <v>510.92436974789916</v>
      </c>
      <c r="Q54" s="99">
        <f t="shared" si="38"/>
        <v>3200</v>
      </c>
      <c r="R54" s="99">
        <f t="shared" si="39"/>
        <v>672268.90756302525</v>
      </c>
      <c r="S54" s="99">
        <f t="shared" si="40"/>
        <v>800000</v>
      </c>
      <c r="T54" s="76" t="str">
        <f>IF(C54="","",VLOOKUP(C54,listaBolsa!$D$2:$BB$1276,36,0))</f>
        <v>JEGAR PUBLICIDAD MISIONES</v>
      </c>
      <c r="U54" s="100">
        <f>IF(C54="","",VLOOKUP(C54,listaBolsa!$D$2:$BB$1276,40,0))</f>
        <v>3800</v>
      </c>
      <c r="V54" s="101"/>
      <c r="W54" s="101">
        <f t="shared" si="42"/>
        <v>3800</v>
      </c>
      <c r="X54" s="101">
        <f t="shared" si="43"/>
        <v>950000</v>
      </c>
      <c r="Y54" s="101">
        <f t="shared" si="44"/>
        <v>950000</v>
      </c>
      <c r="Z54" s="102">
        <f t="shared" si="45"/>
        <v>3206</v>
      </c>
      <c r="AA54" s="102">
        <f t="shared" si="46"/>
        <v>801500</v>
      </c>
      <c r="AB54" s="103">
        <f t="shared" si="47"/>
        <v>147756</v>
      </c>
      <c r="AC54" s="77">
        <f t="shared" si="48"/>
        <v>0.18434934497816594</v>
      </c>
      <c r="AD54" s="5"/>
      <c r="AF54" s="7" t="str">
        <f>IF(C54="","",VLOOKUP(C54,listaBolsa!$D$2:$BB$276,51,0))</f>
        <v>Tercer ítem sin IVA</v>
      </c>
      <c r="BG54" s="7">
        <v>52</v>
      </c>
      <c r="CA54" s="7" t="str">
        <f>VLOOKUP(C54,listaBolsa!$D$2:$BA$1248,1,0)</f>
        <v>Certificado de participación</v>
      </c>
      <c r="CB54" s="7" t="str">
        <f>VLOOKUP(C54,listaBolsa!$D$2:$BA$1248,2,0)</f>
        <v xml:space="preserve">Impresión a media carta 4 tintas en papel _x000D_
propalcote o kimberly 200 gr, tamaño 22x28 cm con nombres individuales o espacio para el mismo, refilados._x000D_
</v>
      </c>
      <c r="CC54" s="7" t="str">
        <f>VLOOKUP(C54,listaBolsa!$D$2:$BA$1248,10,0)</f>
        <v>GUERRA EDITORES</v>
      </c>
      <c r="CD54" s="7">
        <f>VLOOKUP(C54,listaBolsa!$D$2:$BA$1248,14,0)</f>
        <v>2200</v>
      </c>
      <c r="CE54" s="7" t="str">
        <f>VLOOKUP(C54,listaBolsa!$D$2:$BA$1248,23,0)</f>
        <v>SG DIGITAL S.A.S</v>
      </c>
      <c r="CF54" s="7">
        <f>VLOOKUP(C54,listaBolsa!$D$2:$BA$1248,29,0)</f>
        <v>3200</v>
      </c>
      <c r="CG54" s="7" t="str">
        <f>VLOOKUP(C54,listaBolsa!$D$2:$BA$1248,36,0)</f>
        <v>JEGAR PUBLICIDAD MISIONES</v>
      </c>
      <c r="CH54" s="7">
        <f>VLOOKUP(C54,listaBolsa!$D$2:$BA$1248,40,0)</f>
        <v>3800</v>
      </c>
      <c r="CI54" s="7">
        <f>VLOOKUP(C54,listaBolsa!$D$2:$BA$1248,48,0)</f>
        <v>0.1843418590143481</v>
      </c>
      <c r="CJ54" s="7" t="b">
        <f t="shared" si="53"/>
        <v>1</v>
      </c>
      <c r="CK54" s="7" t="b">
        <f t="shared" si="54"/>
        <v>0</v>
      </c>
      <c r="CL54" s="7" t="b">
        <f t="shared" si="55"/>
        <v>1</v>
      </c>
      <c r="CM54" s="7" t="b">
        <f t="shared" si="56"/>
        <v>1</v>
      </c>
      <c r="CN54" s="7" t="b">
        <f t="shared" si="57"/>
        <v>1</v>
      </c>
      <c r="CO54" s="7" t="b">
        <f t="shared" si="58"/>
        <v>0</v>
      </c>
      <c r="CP54" s="7" t="b">
        <f t="shared" si="59"/>
        <v>1</v>
      </c>
      <c r="CQ54" s="7" t="b">
        <f t="shared" si="60"/>
        <v>1</v>
      </c>
      <c r="CR54" s="7" t="b">
        <f t="shared" si="61"/>
        <v>0</v>
      </c>
    </row>
    <row r="55" spans="1:96" s="7" customFormat="1" ht="144">
      <c r="A55" s="75">
        <f t="shared" si="26"/>
        <v>53</v>
      </c>
      <c r="B55" s="210" t="s">
        <v>1437</v>
      </c>
      <c r="C55" s="205" t="s">
        <v>950</v>
      </c>
      <c r="D55" s="205" t="s">
        <v>1438</v>
      </c>
      <c r="E55" s="211" t="s">
        <v>270</v>
      </c>
      <c r="F55" s="207">
        <v>24</v>
      </c>
      <c r="G55" s="205" t="s">
        <v>288</v>
      </c>
      <c r="H55" s="80" t="str">
        <f>IF(C55="","",VLOOKUP(C55,listaBolsa!$D$2:$W$1118,10,0))</f>
        <v xml:space="preserve">JAC PRADO PINZON </v>
      </c>
      <c r="I55" s="96">
        <f>IF(C55="","",VLOOKUP(C55,listaBolsa!$D$2:$W$1118,14,0))</f>
        <v>302522</v>
      </c>
      <c r="J55" s="97">
        <f t="shared" si="51"/>
        <v>57479.18</v>
      </c>
      <c r="K55" s="97">
        <f t="shared" si="52"/>
        <v>360001.18</v>
      </c>
      <c r="L55" s="97">
        <f t="shared" si="36"/>
        <v>7260528</v>
      </c>
      <c r="M55" s="97">
        <f t="shared" si="37"/>
        <v>8640028.3200000003</v>
      </c>
      <c r="N55" s="81" t="str">
        <f>IF(C55="","",VLOOKUP(C55,listaBolsa!$D$2:$AZ$1276,23,0))</f>
        <v>JAC URBANIZACION EL LAGUITO DE SUBA</v>
      </c>
      <c r="O55" s="98">
        <f>IF(C55="","",VLOOKUP(C55,listaBolsa!$D$2:$AZ$1276,27,0))</f>
        <v>252101</v>
      </c>
      <c r="P55" s="99">
        <f t="shared" si="50"/>
        <v>47899.19</v>
      </c>
      <c r="Q55" s="99">
        <f t="shared" si="38"/>
        <v>300000.19</v>
      </c>
      <c r="R55" s="99">
        <f t="shared" si="39"/>
        <v>6050424</v>
      </c>
      <c r="S55" s="99">
        <f t="shared" si="40"/>
        <v>7200004.5600000005</v>
      </c>
      <c r="T55" s="76"/>
      <c r="U55" s="100"/>
      <c r="V55" s="101"/>
      <c r="W55" s="101"/>
      <c r="X55" s="101"/>
      <c r="Y55" s="101"/>
      <c r="Z55" s="102">
        <f t="shared" si="45"/>
        <v>330001</v>
      </c>
      <c r="AA55" s="102">
        <f t="shared" si="46"/>
        <v>7920024</v>
      </c>
      <c r="AB55" s="103">
        <f t="shared" si="47"/>
        <v>1018251</v>
      </c>
      <c r="AC55" s="77">
        <f t="shared" si="48"/>
        <v>0.12856665585861862</v>
      </c>
      <c r="AD55" s="5"/>
      <c r="AF55" s="7">
        <f>IF(C55="","",VLOOKUP(C55,listaBolsa!$D$2:$BB$276,51,0))</f>
        <v>0</v>
      </c>
      <c r="BG55" s="7">
        <v>53</v>
      </c>
      <c r="CA55" s="7" t="str">
        <f>VLOOKUP(C55,listaBolsa!$D$2:$BA$1248,1,0)</f>
        <v>Salón - Espacio Apto para 50 personas  (media jornada más equipos audiovisuales)</v>
      </c>
      <c r="CB55" s="7" t="str">
        <f>VLOOKUP(C55,listaBolsa!$D$2:$BA$1248,2,0)</f>
        <v>Espacio físico para 50 personas con baño, sillas y mesas, ubicado en la localidad de Suba, con disponibilidad de espacio exterior para desarrollo de actividades_x000D_
Dotado con equipo de computo, video beam y sonido_x000D_
Jornada de 4 horas</v>
      </c>
      <c r="CC55" s="7" t="str">
        <f>VLOOKUP(C55,listaBolsa!$D$2:$BA$1248,10,0)</f>
        <v xml:space="preserve">JAC PRADO PINZON </v>
      </c>
      <c r="CD55" s="7">
        <f>VLOOKUP(C55,listaBolsa!$D$2:$BA$1248,14,0)</f>
        <v>302522</v>
      </c>
      <c r="CE55" s="7" t="str">
        <f>VLOOKUP(C55,listaBolsa!$D$2:$BA$1248,23,0)</f>
        <v>JAC URBANIZACION EL LAGUITO DE SUBA</v>
      </c>
      <c r="CF55" s="7">
        <f>VLOOKUP(C55,listaBolsa!$D$2:$BA$1248,29,0)</f>
        <v>300000.19</v>
      </c>
      <c r="CG55" s="7">
        <f>VLOOKUP(C55,listaBolsa!$D$2:$BA$1248,36,0)</f>
        <v>0</v>
      </c>
      <c r="CH55" s="7">
        <f>VLOOKUP(C55,listaBolsa!$D$2:$BA$1248,40,0)</f>
        <v>0</v>
      </c>
      <c r="CI55" s="7">
        <f>VLOOKUP(C55,listaBolsa!$D$2:$BA$1248,48,0)</f>
        <v>0.12856627707188767</v>
      </c>
      <c r="CJ55" s="7" t="b">
        <f t="shared" si="53"/>
        <v>1</v>
      </c>
      <c r="CK55" s="7" t="b">
        <f t="shared" si="54"/>
        <v>0</v>
      </c>
      <c r="CL55" s="7" t="b">
        <f t="shared" si="55"/>
        <v>1</v>
      </c>
      <c r="CM55" s="7" t="b">
        <f t="shared" si="56"/>
        <v>1</v>
      </c>
      <c r="CN55" s="7" t="b">
        <f t="shared" si="57"/>
        <v>1</v>
      </c>
      <c r="CO55" s="7" t="b">
        <f t="shared" si="58"/>
        <v>0</v>
      </c>
      <c r="CP55" s="7" t="b">
        <f t="shared" si="59"/>
        <v>1</v>
      </c>
      <c r="CQ55" s="7" t="b">
        <f t="shared" si="60"/>
        <v>1</v>
      </c>
      <c r="CR55" s="7" t="b">
        <f t="shared" si="61"/>
        <v>0</v>
      </c>
    </row>
    <row r="56" spans="1:96" s="7" customFormat="1" ht="72">
      <c r="A56" s="75">
        <f t="shared" si="26"/>
        <v>54</v>
      </c>
      <c r="B56" s="210" t="s">
        <v>1437</v>
      </c>
      <c r="C56" s="205" t="s">
        <v>1439</v>
      </c>
      <c r="D56" s="205" t="s">
        <v>1440</v>
      </c>
      <c r="E56" s="211" t="s">
        <v>185</v>
      </c>
      <c r="F56" s="207">
        <v>450</v>
      </c>
      <c r="G56" s="205" t="s">
        <v>186</v>
      </c>
      <c r="H56" s="80" t="s">
        <v>1441</v>
      </c>
      <c r="I56" s="96">
        <v>23500</v>
      </c>
      <c r="J56" s="97">
        <f>I56*8%</f>
        <v>1880</v>
      </c>
      <c r="K56" s="97">
        <f t="shared" ref="K56" si="71">I56+J56</f>
        <v>25380</v>
      </c>
      <c r="L56" s="97">
        <f t="shared" si="36"/>
        <v>10575000</v>
      </c>
      <c r="M56" s="97">
        <f t="shared" si="37"/>
        <v>11421000</v>
      </c>
      <c r="N56" s="81" t="s">
        <v>1442</v>
      </c>
      <c r="O56" s="98">
        <v>24650</v>
      </c>
      <c r="P56" s="99">
        <f>O56*8%</f>
        <v>1972</v>
      </c>
      <c r="Q56" s="99">
        <f t="shared" si="38"/>
        <v>26622</v>
      </c>
      <c r="R56" s="99">
        <f t="shared" si="39"/>
        <v>11092500</v>
      </c>
      <c r="S56" s="99">
        <f t="shared" si="40"/>
        <v>11979900</v>
      </c>
      <c r="T56" s="76" t="s">
        <v>1443</v>
      </c>
      <c r="U56" s="100">
        <v>31500</v>
      </c>
      <c r="V56" s="101">
        <f>U56*8%</f>
        <v>2520</v>
      </c>
      <c r="W56" s="101">
        <f t="shared" ref="W56" si="72">U56+V56</f>
        <v>34020</v>
      </c>
      <c r="X56" s="101">
        <f t="shared" ref="X56" si="73">IF(B56="","",(U56*F56))</f>
        <v>14175000</v>
      </c>
      <c r="Y56" s="101">
        <f t="shared" ref="Y56" si="74">IF(B56="","",(W56*F56))</f>
        <v>15309000</v>
      </c>
      <c r="Z56" s="102">
        <f t="shared" si="45"/>
        <v>28674</v>
      </c>
      <c r="AA56" s="102">
        <f t="shared" si="46"/>
        <v>12903300</v>
      </c>
      <c r="AB56" s="103">
        <f t="shared" si="47"/>
        <v>2102055</v>
      </c>
      <c r="AC56" s="77">
        <f t="shared" si="48"/>
        <v>0.16290832577712677</v>
      </c>
      <c r="AD56" s="5"/>
      <c r="AF56" s="7" t="e">
        <f>IF(C56="","",VLOOKUP(C56,listaBolsa!$D$2:$BB$276,51,0))</f>
        <v>#N/A</v>
      </c>
      <c r="BG56" s="7">
        <v>54</v>
      </c>
      <c r="CA56" s="7" t="e">
        <f>VLOOKUP(C56,listaBolsa!$D$2:$BA$1248,1,0)</f>
        <v>#N/A</v>
      </c>
      <c r="CB56" s="7" t="e">
        <f>VLOOKUP(C56,listaBolsa!$D$2:$BA$1248,2,0)</f>
        <v>#N/A</v>
      </c>
      <c r="CC56" s="7" t="e">
        <f>VLOOKUP(C56,listaBolsa!$D$2:$BA$1248,10,0)</f>
        <v>#N/A</v>
      </c>
      <c r="CD56" s="7" t="e">
        <f>VLOOKUP(C56,listaBolsa!$D$2:$BA$1248,14,0)</f>
        <v>#N/A</v>
      </c>
      <c r="CE56" s="7" t="e">
        <f>VLOOKUP(C56,listaBolsa!$D$2:$BA$1248,23,0)</f>
        <v>#N/A</v>
      </c>
      <c r="CF56" s="7" t="e">
        <f>VLOOKUP(C56,listaBolsa!$D$2:$BA$1248,29,0)</f>
        <v>#N/A</v>
      </c>
      <c r="CG56" s="7" t="e">
        <f>VLOOKUP(C56,listaBolsa!$D$2:$BA$1248,36,0)</f>
        <v>#N/A</v>
      </c>
      <c r="CH56" s="7" t="e">
        <f>VLOOKUP(C56,listaBolsa!$D$2:$BA$1248,40,0)</f>
        <v>#N/A</v>
      </c>
      <c r="CI56" s="7" t="e">
        <f>VLOOKUP(C56,listaBolsa!$D$2:$BA$1248,48,0)</f>
        <v>#N/A</v>
      </c>
      <c r="CJ56" s="7" t="e">
        <f t="shared" si="53"/>
        <v>#N/A</v>
      </c>
      <c r="CK56" s="7" t="e">
        <f t="shared" si="54"/>
        <v>#N/A</v>
      </c>
      <c r="CL56" s="7" t="e">
        <f t="shared" si="55"/>
        <v>#N/A</v>
      </c>
      <c r="CM56" s="7" t="e">
        <f t="shared" si="56"/>
        <v>#N/A</v>
      </c>
      <c r="CN56" s="7" t="e">
        <f t="shared" si="57"/>
        <v>#N/A</v>
      </c>
      <c r="CO56" s="7" t="e">
        <f t="shared" si="58"/>
        <v>#N/A</v>
      </c>
      <c r="CP56" s="7" t="e">
        <f t="shared" si="59"/>
        <v>#N/A</v>
      </c>
      <c r="CQ56" s="7" t="e">
        <f t="shared" si="60"/>
        <v>#N/A</v>
      </c>
      <c r="CR56" s="7" t="e">
        <f t="shared" si="61"/>
        <v>#N/A</v>
      </c>
    </row>
    <row r="57" spans="1:96" s="7" customFormat="1" ht="192">
      <c r="A57" s="75">
        <f t="shared" si="26"/>
        <v>56</v>
      </c>
      <c r="B57" s="210" t="s">
        <v>1437</v>
      </c>
      <c r="C57" s="205" t="s">
        <v>1444</v>
      </c>
      <c r="D57" s="205" t="s">
        <v>1445</v>
      </c>
      <c r="E57" s="211" t="s">
        <v>185</v>
      </c>
      <c r="F57" s="207">
        <v>150</v>
      </c>
      <c r="G57" s="205" t="s">
        <v>186</v>
      </c>
      <c r="H57" s="80" t="s">
        <v>1446</v>
      </c>
      <c r="I57" s="96">
        <v>155462.18</v>
      </c>
      <c r="J57" s="97">
        <f t="shared" si="51"/>
        <v>29537.814200000001</v>
      </c>
      <c r="K57" s="97">
        <f t="shared" si="52"/>
        <v>184999.99419999999</v>
      </c>
      <c r="L57" s="97">
        <f t="shared" si="36"/>
        <v>23319327</v>
      </c>
      <c r="M57" s="97">
        <f t="shared" si="37"/>
        <v>27749999.129999999</v>
      </c>
      <c r="N57" s="81" t="s">
        <v>1447</v>
      </c>
      <c r="O57" s="98">
        <v>159663.87</v>
      </c>
      <c r="P57" s="99">
        <f t="shared" si="50"/>
        <v>30336.135299999998</v>
      </c>
      <c r="Q57" s="99">
        <f t="shared" si="38"/>
        <v>190000.00529999999</v>
      </c>
      <c r="R57" s="99">
        <f t="shared" si="39"/>
        <v>23949580.5</v>
      </c>
      <c r="S57" s="99">
        <f t="shared" si="40"/>
        <v>28500000.794999998</v>
      </c>
      <c r="T57" s="76"/>
      <c r="U57" s="100"/>
      <c r="V57" s="101"/>
      <c r="W57" s="101"/>
      <c r="X57" s="101"/>
      <c r="Y57" s="101"/>
      <c r="Z57" s="102">
        <f t="shared" si="45"/>
        <v>187500</v>
      </c>
      <c r="AA57" s="102">
        <f t="shared" si="46"/>
        <v>28125000</v>
      </c>
      <c r="AB57" s="103">
        <f t="shared" si="47"/>
        <v>530331</v>
      </c>
      <c r="AC57" s="77">
        <f t="shared" si="48"/>
        <v>1.8856213333333333E-2</v>
      </c>
      <c r="AD57" s="5"/>
      <c r="AF57" s="7" t="e">
        <f>IF(C57="","",VLOOKUP(C57,listaBolsa!$D$2:$BB$276,51,0))</f>
        <v>#N/A</v>
      </c>
      <c r="BG57" s="7">
        <v>56</v>
      </c>
      <c r="CA57" s="7" t="e">
        <f>VLOOKUP(C57,listaBolsa!$D$2:$BA$1248,1,0)</f>
        <v>#N/A</v>
      </c>
      <c r="CB57" s="7" t="e">
        <f>VLOOKUP(C57,listaBolsa!$D$2:$BA$1248,2,0)</f>
        <v>#N/A</v>
      </c>
      <c r="CC57" s="7" t="e">
        <f>VLOOKUP(C57,listaBolsa!$D$2:$BA$1248,10,0)</f>
        <v>#N/A</v>
      </c>
      <c r="CD57" s="7" t="e">
        <f>VLOOKUP(C57,listaBolsa!$D$2:$BA$1248,14,0)</f>
        <v>#N/A</v>
      </c>
      <c r="CE57" s="7" t="e">
        <f>VLOOKUP(C57,listaBolsa!$D$2:$BA$1248,23,0)</f>
        <v>#N/A</v>
      </c>
      <c r="CF57" s="7" t="e">
        <f>VLOOKUP(C57,listaBolsa!$D$2:$BA$1248,29,0)</f>
        <v>#N/A</v>
      </c>
      <c r="CG57" s="7" t="e">
        <f>VLOOKUP(C57,listaBolsa!$D$2:$BA$1248,36,0)</f>
        <v>#N/A</v>
      </c>
      <c r="CH57" s="7" t="e">
        <f>VLOOKUP(C57,listaBolsa!$D$2:$BA$1248,40,0)</f>
        <v>#N/A</v>
      </c>
      <c r="CI57" s="7" t="e">
        <f>VLOOKUP(C57,listaBolsa!$D$2:$BA$1248,48,0)</f>
        <v>#N/A</v>
      </c>
      <c r="CJ57" s="7" t="e">
        <f t="shared" si="53"/>
        <v>#N/A</v>
      </c>
      <c r="CK57" s="7" t="e">
        <f t="shared" si="54"/>
        <v>#N/A</v>
      </c>
      <c r="CL57" s="7" t="e">
        <f t="shared" si="55"/>
        <v>#N/A</v>
      </c>
      <c r="CM57" s="7" t="e">
        <f t="shared" si="56"/>
        <v>#N/A</v>
      </c>
      <c r="CN57" s="7" t="e">
        <f t="shared" si="57"/>
        <v>#N/A</v>
      </c>
      <c r="CO57" s="7" t="e">
        <f t="shared" si="58"/>
        <v>#N/A</v>
      </c>
      <c r="CP57" s="7" t="e">
        <f t="shared" si="59"/>
        <v>#N/A</v>
      </c>
      <c r="CQ57" s="7" t="e">
        <f t="shared" si="60"/>
        <v>#N/A</v>
      </c>
      <c r="CR57" s="7" t="e">
        <f t="shared" si="61"/>
        <v>#N/A</v>
      </c>
    </row>
    <row r="58" spans="1:96" s="7" customFormat="1" ht="144">
      <c r="A58" s="75">
        <f t="shared" si="26"/>
        <v>57</v>
      </c>
      <c r="B58" s="210" t="s">
        <v>1437</v>
      </c>
      <c r="C58" s="205" t="s">
        <v>1448</v>
      </c>
      <c r="D58" s="205" t="s">
        <v>1449</v>
      </c>
      <c r="E58" s="211" t="s">
        <v>185</v>
      </c>
      <c r="F58" s="207">
        <v>150</v>
      </c>
      <c r="G58" s="205" t="s">
        <v>186</v>
      </c>
      <c r="H58" s="80" t="s">
        <v>1050</v>
      </c>
      <c r="I58" s="96">
        <v>102436.97</v>
      </c>
      <c r="J58" s="97">
        <f t="shared" si="51"/>
        <v>19463.024300000001</v>
      </c>
      <c r="K58" s="97">
        <f t="shared" si="52"/>
        <v>121899.99430000001</v>
      </c>
      <c r="L58" s="97">
        <f t="shared" si="36"/>
        <v>15365545.5</v>
      </c>
      <c r="M58" s="97">
        <f t="shared" si="37"/>
        <v>18284999.145</v>
      </c>
      <c r="N58" s="81" t="s">
        <v>883</v>
      </c>
      <c r="O58" s="98">
        <v>126050.42</v>
      </c>
      <c r="P58" s="99">
        <f t="shared" si="50"/>
        <v>23949.5798</v>
      </c>
      <c r="Q58" s="99">
        <f t="shared" si="38"/>
        <v>149999.99979999999</v>
      </c>
      <c r="R58" s="99">
        <f t="shared" si="39"/>
        <v>18907563</v>
      </c>
      <c r="S58" s="99">
        <f t="shared" si="40"/>
        <v>22499999.969999999</v>
      </c>
      <c r="T58" s="76" t="s">
        <v>1246</v>
      </c>
      <c r="U58" s="100">
        <v>137731.09</v>
      </c>
      <c r="V58" s="101">
        <f t="shared" si="41"/>
        <v>26168.9071</v>
      </c>
      <c r="W58" s="101">
        <f t="shared" si="42"/>
        <v>163899.99710000001</v>
      </c>
      <c r="X58" s="101">
        <f t="shared" si="43"/>
        <v>20659663.5</v>
      </c>
      <c r="Y58" s="101">
        <f t="shared" si="44"/>
        <v>24584999.565000001</v>
      </c>
      <c r="Z58" s="102">
        <f t="shared" si="45"/>
        <v>145267</v>
      </c>
      <c r="AA58" s="102">
        <f t="shared" si="46"/>
        <v>21790050</v>
      </c>
      <c r="AB58" s="103">
        <f t="shared" si="47"/>
        <v>3209451</v>
      </c>
      <c r="AC58" s="77">
        <f t="shared" si="48"/>
        <v>0.14728974922040106</v>
      </c>
      <c r="AD58" s="5"/>
      <c r="AF58" s="7" t="e">
        <f>IF(C58="","",VLOOKUP(C58,listaBolsa!$D$2:$BB$276,51,0))</f>
        <v>#N/A</v>
      </c>
      <c r="BG58" s="7">
        <v>57</v>
      </c>
      <c r="CA58" s="7" t="e">
        <f>VLOOKUP(C58,listaBolsa!$D$2:$BA$1248,1,0)</f>
        <v>#N/A</v>
      </c>
      <c r="CB58" s="7" t="e">
        <f>VLOOKUP(C58,listaBolsa!$D$2:$BA$1248,2,0)</f>
        <v>#N/A</v>
      </c>
      <c r="CC58" s="7" t="e">
        <f>VLOOKUP(C58,listaBolsa!$D$2:$BA$1248,10,0)</f>
        <v>#N/A</v>
      </c>
      <c r="CD58" s="7" t="e">
        <f>VLOOKUP(C58,listaBolsa!$D$2:$BA$1248,14,0)</f>
        <v>#N/A</v>
      </c>
      <c r="CE58" s="7" t="e">
        <f>VLOOKUP(C58,listaBolsa!$D$2:$BA$1248,23,0)</f>
        <v>#N/A</v>
      </c>
      <c r="CF58" s="7" t="e">
        <f>VLOOKUP(C58,listaBolsa!$D$2:$BA$1248,29,0)</f>
        <v>#N/A</v>
      </c>
      <c r="CG58" s="7" t="e">
        <f>VLOOKUP(C58,listaBolsa!$D$2:$BA$1248,36,0)</f>
        <v>#N/A</v>
      </c>
      <c r="CH58" s="7" t="e">
        <f>VLOOKUP(C58,listaBolsa!$D$2:$BA$1248,40,0)</f>
        <v>#N/A</v>
      </c>
      <c r="CI58" s="7" t="e">
        <f>VLOOKUP(C58,listaBolsa!$D$2:$BA$1248,48,0)</f>
        <v>#N/A</v>
      </c>
      <c r="CJ58" s="7" t="e">
        <f t="shared" si="53"/>
        <v>#N/A</v>
      </c>
      <c r="CK58" s="7" t="e">
        <f t="shared" si="54"/>
        <v>#N/A</v>
      </c>
      <c r="CL58" s="7" t="e">
        <f t="shared" si="55"/>
        <v>#N/A</v>
      </c>
      <c r="CM58" s="7" t="e">
        <f t="shared" si="56"/>
        <v>#N/A</v>
      </c>
      <c r="CN58" s="7" t="e">
        <f t="shared" si="57"/>
        <v>#N/A</v>
      </c>
      <c r="CO58" s="7" t="e">
        <f t="shared" si="58"/>
        <v>#N/A</v>
      </c>
      <c r="CP58" s="7" t="e">
        <f t="shared" si="59"/>
        <v>#N/A</v>
      </c>
      <c r="CQ58" s="7" t="e">
        <f t="shared" si="60"/>
        <v>#N/A</v>
      </c>
      <c r="CR58" s="7" t="e">
        <f t="shared" si="61"/>
        <v>#N/A</v>
      </c>
    </row>
    <row r="59" spans="1:96" s="7" customFormat="1" ht="408">
      <c r="A59" s="75">
        <f t="shared" si="26"/>
        <v>58</v>
      </c>
      <c r="B59" s="210" t="s">
        <v>1437</v>
      </c>
      <c r="C59" s="205" t="s">
        <v>1450</v>
      </c>
      <c r="D59" s="205" t="s">
        <v>1372</v>
      </c>
      <c r="E59" s="211" t="s">
        <v>185</v>
      </c>
      <c r="F59" s="207">
        <v>150</v>
      </c>
      <c r="G59" s="205" t="s">
        <v>186</v>
      </c>
      <c r="H59" s="244" t="s">
        <v>1138</v>
      </c>
      <c r="I59" s="236">
        <v>31000</v>
      </c>
      <c r="J59" s="237">
        <f t="shared" si="51"/>
        <v>5890</v>
      </c>
      <c r="K59" s="237">
        <f t="shared" si="52"/>
        <v>36890</v>
      </c>
      <c r="L59" s="237">
        <f t="shared" si="36"/>
        <v>4650000</v>
      </c>
      <c r="M59" s="237">
        <f t="shared" si="37"/>
        <v>5533500</v>
      </c>
      <c r="N59" s="238" t="s">
        <v>1140</v>
      </c>
      <c r="O59" s="239">
        <v>32820</v>
      </c>
      <c r="P59" s="240">
        <f t="shared" si="50"/>
        <v>6235.8</v>
      </c>
      <c r="Q59" s="240">
        <f t="shared" si="38"/>
        <v>39055.800000000003</v>
      </c>
      <c r="R59" s="240">
        <f t="shared" si="39"/>
        <v>4923000</v>
      </c>
      <c r="S59" s="240">
        <f t="shared" si="40"/>
        <v>5858370</v>
      </c>
      <c r="T59" s="241" t="s">
        <v>1373</v>
      </c>
      <c r="U59" s="242">
        <v>34200</v>
      </c>
      <c r="V59" s="243">
        <f t="shared" si="41"/>
        <v>6498</v>
      </c>
      <c r="W59" s="243">
        <f t="shared" si="42"/>
        <v>40698</v>
      </c>
      <c r="X59" s="243">
        <f t="shared" si="43"/>
        <v>5130000</v>
      </c>
      <c r="Y59" s="243">
        <f t="shared" si="44"/>
        <v>6104700</v>
      </c>
      <c r="Z59" s="102">
        <f t="shared" si="45"/>
        <v>38881</v>
      </c>
      <c r="AA59" s="102">
        <f t="shared" si="46"/>
        <v>5832150</v>
      </c>
      <c r="AB59" s="103">
        <f t="shared" si="47"/>
        <v>286499</v>
      </c>
      <c r="AC59" s="77">
        <f t="shared" si="48"/>
        <v>4.9124079456118241E-2</v>
      </c>
      <c r="AD59" s="5"/>
      <c r="AF59" s="7" t="e">
        <f>IF(C59="","",VLOOKUP(C59,listaBolsa!$D$2:$BB$276,51,0))</f>
        <v>#N/A</v>
      </c>
      <c r="BG59" s="7">
        <v>58</v>
      </c>
      <c r="CA59" s="7" t="e">
        <f>VLOOKUP(C59,listaBolsa!$D$2:$BA$1248,1,0)</f>
        <v>#N/A</v>
      </c>
      <c r="CB59" s="7" t="e">
        <f>VLOOKUP(C59,listaBolsa!$D$2:$BA$1248,2,0)</f>
        <v>#N/A</v>
      </c>
      <c r="CC59" s="7" t="e">
        <f>VLOOKUP(C59,listaBolsa!$D$2:$BA$1248,10,0)</f>
        <v>#N/A</v>
      </c>
      <c r="CD59" s="7" t="e">
        <f>VLOOKUP(C59,listaBolsa!$D$2:$BA$1248,14,0)</f>
        <v>#N/A</v>
      </c>
      <c r="CE59" s="7" t="e">
        <f>VLOOKUP(C59,listaBolsa!$D$2:$BA$1248,23,0)</f>
        <v>#N/A</v>
      </c>
      <c r="CF59" s="7" t="e">
        <f>VLOOKUP(C59,listaBolsa!$D$2:$BA$1248,29,0)</f>
        <v>#N/A</v>
      </c>
      <c r="CG59" s="7" t="e">
        <f>VLOOKUP(C59,listaBolsa!$D$2:$BA$1248,36,0)</f>
        <v>#N/A</v>
      </c>
      <c r="CH59" s="7" t="e">
        <f>VLOOKUP(C59,listaBolsa!$D$2:$BA$1248,40,0)</f>
        <v>#N/A</v>
      </c>
      <c r="CI59" s="7" t="e">
        <f>VLOOKUP(C59,listaBolsa!$D$2:$BA$1248,48,0)</f>
        <v>#N/A</v>
      </c>
      <c r="CJ59" s="7" t="e">
        <f t="shared" si="53"/>
        <v>#N/A</v>
      </c>
      <c r="CK59" s="7" t="e">
        <f t="shared" si="54"/>
        <v>#N/A</v>
      </c>
      <c r="CL59" s="7" t="e">
        <f t="shared" si="55"/>
        <v>#N/A</v>
      </c>
      <c r="CM59" s="7" t="e">
        <f t="shared" si="56"/>
        <v>#N/A</v>
      </c>
      <c r="CN59" s="7" t="e">
        <f t="shared" si="57"/>
        <v>#N/A</v>
      </c>
      <c r="CO59" s="7" t="e">
        <f t="shared" si="58"/>
        <v>#N/A</v>
      </c>
      <c r="CP59" s="7" t="e">
        <f t="shared" si="59"/>
        <v>#N/A</v>
      </c>
      <c r="CQ59" s="7" t="e">
        <f t="shared" si="60"/>
        <v>#N/A</v>
      </c>
      <c r="CR59" s="7" t="e">
        <f t="shared" si="61"/>
        <v>#N/A</v>
      </c>
    </row>
    <row r="60" spans="1:96" s="7" customFormat="1" ht="405">
      <c r="A60" s="75">
        <f t="shared" si="26"/>
        <v>59</v>
      </c>
      <c r="B60" s="210" t="s">
        <v>1437</v>
      </c>
      <c r="C60" s="205" t="s">
        <v>449</v>
      </c>
      <c r="D60" s="205" t="s">
        <v>1435</v>
      </c>
      <c r="E60" s="211" t="s">
        <v>255</v>
      </c>
      <c r="F60" s="207">
        <v>1</v>
      </c>
      <c r="G60" s="205" t="s">
        <v>288</v>
      </c>
      <c r="H60" s="80"/>
      <c r="I60" s="96"/>
      <c r="J60" s="97"/>
      <c r="K60" s="97"/>
      <c r="L60" s="97"/>
      <c r="M60" s="97"/>
      <c r="N60" s="81" t="str">
        <f>IF(C60="","",VLOOKUP(C60,listaBolsa!$D$2:$AZ$1276,23,0))</f>
        <v>Estimación de precios con base en el proceso FDLSUBA-LP-013-2025 (140689) – Contrato 1000 – 2025, indexando el incremento de precios en el mercado con base en el Índice de Precios al Consumidor (IPC) para el mes de marzo de 2026, el cual fue de 5,56%.</v>
      </c>
      <c r="O60" s="98" t="str">
        <f>IF(C60="","",VLOOKUP(C60,listaBolsa!$D$2:$AZ$1276,27,0))</f>
        <v>OPERADOR LOGÍSTICO</v>
      </c>
      <c r="P60" s="98" t="str">
        <f>$O$52</f>
        <v>OPERADOR LOGÍSTICO</v>
      </c>
      <c r="Q60" s="99">
        <v>3503882</v>
      </c>
      <c r="R60" s="99">
        <v>665738</v>
      </c>
      <c r="S60" s="99">
        <v>4169620</v>
      </c>
      <c r="T60" s="76" t="str">
        <f>IF(C60="","",VLOOKUP(C60,listaBolsa!$D$2:$BB$1276,36,0))</f>
        <v>FUNCAS</v>
      </c>
      <c r="U60" s="100" t="s">
        <v>252</v>
      </c>
      <c r="V60" s="101" t="s">
        <v>252</v>
      </c>
      <c r="W60" s="101">
        <v>3402311</v>
      </c>
      <c r="X60" s="101">
        <v>646439</v>
      </c>
      <c r="Y60" s="101">
        <v>4048750</v>
      </c>
      <c r="Z60" s="102">
        <f t="shared" si="45"/>
        <v>3453097</v>
      </c>
      <c r="AA60" s="102">
        <f t="shared" si="46"/>
        <v>3453097</v>
      </c>
      <c r="AB60" s="103">
        <f t="shared" si="47"/>
        <v>85468</v>
      </c>
      <c r="AC60" s="77">
        <f t="shared" si="48"/>
        <v>2.4751114723970975E-2</v>
      </c>
      <c r="AD60" s="5"/>
      <c r="AF60" s="7">
        <f>IF(C60="","",VLOOKUP(C60,listaBolsa!$D$2:$BB$276,51,0))</f>
        <v>0</v>
      </c>
      <c r="BG60" s="7">
        <v>59</v>
      </c>
      <c r="CA60" s="7" t="str">
        <f>VLOOKUP(C60,listaBolsa!$D$2:$BA$1248,1,0)</f>
        <v>Auditorio 500 personas</v>
      </c>
      <c r="CB60" s="7" t="str">
        <f>VLOOKUP(C60,listaBolsa!$D$2:$BA$1248,2,0)</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CC60" s="7">
        <f>VLOOKUP(C60,listaBolsa!$D$2:$BA$1248,10,0)</f>
        <v>0</v>
      </c>
      <c r="CD60" s="7" t="str">
        <f>VLOOKUP(C60,listaBolsa!$D$2:$BA$1248,14,0)</f>
        <v> </v>
      </c>
      <c r="CE60" s="7" t="str">
        <f>VLOOKUP(C60,listaBolsa!$D$2:$BA$1248,23,0)</f>
        <v>Estimación de precios con base en el proceso FDLSUBA-LP-013-2025 (140689) – Contrato 1000 – 2025, indexando el incremento de precios en el mercado con base en el Índice de Precios al Consumidor (IPC) para el mes de marzo de 2026, el cual fue de 5,56%.</v>
      </c>
      <c r="CF60" s="7">
        <f>VLOOKUP(C60,listaBolsa!$D$2:$BA$1248,29,0)</f>
        <v>3503882.3529411769</v>
      </c>
      <c r="CG60" s="7" t="str">
        <f>VLOOKUP(C60,listaBolsa!$D$2:$BA$1248,36,0)</f>
        <v>FUNCAS</v>
      </c>
      <c r="CH60" s="7">
        <f>VLOOKUP(C60,listaBolsa!$D$2:$BA$1248,40,0)</f>
        <v>3402311</v>
      </c>
      <c r="CI60" s="7">
        <f>VLOOKUP(C60,listaBolsa!$D$2:$BA$1248,48,0)</f>
        <v>2.0799999999999999E-2</v>
      </c>
      <c r="CJ60" s="7" t="b">
        <f t="shared" si="53"/>
        <v>1</v>
      </c>
      <c r="CK60" s="7" t="b">
        <f t="shared" si="54"/>
        <v>0</v>
      </c>
      <c r="CL60" s="7" t="b">
        <f t="shared" si="55"/>
        <v>1</v>
      </c>
      <c r="CM60" s="7" t="b">
        <f t="shared" si="56"/>
        <v>0</v>
      </c>
      <c r="CN60" s="7" t="b">
        <f t="shared" si="57"/>
        <v>1</v>
      </c>
      <c r="CO60" s="7" t="b">
        <f t="shared" si="58"/>
        <v>0</v>
      </c>
      <c r="CP60" s="7" t="b">
        <f t="shared" si="59"/>
        <v>1</v>
      </c>
      <c r="CQ60" s="7" t="b">
        <f t="shared" si="60"/>
        <v>0</v>
      </c>
      <c r="CR60" s="7" t="b">
        <f t="shared" si="61"/>
        <v>0</v>
      </c>
    </row>
    <row r="61" spans="1:96" s="7" customFormat="1" ht="144">
      <c r="A61" s="75">
        <f t="shared" si="26"/>
        <v>60</v>
      </c>
      <c r="B61" s="210" t="s">
        <v>1451</v>
      </c>
      <c r="C61" s="205" t="s">
        <v>950</v>
      </c>
      <c r="D61" s="205" t="s">
        <v>1438</v>
      </c>
      <c r="E61" s="211" t="s">
        <v>185</v>
      </c>
      <c r="F61" s="207">
        <v>8</v>
      </c>
      <c r="G61" s="205" t="s">
        <v>288</v>
      </c>
      <c r="H61" s="80" t="str">
        <f>IF(C61="","",VLOOKUP(C61,listaBolsa!$D$2:$W$1118,10,0))</f>
        <v xml:space="preserve">JAC PRADO PINZON </v>
      </c>
      <c r="I61" s="96">
        <f>IF(C61="","",VLOOKUP(C61,listaBolsa!$D$2:$W$1118,14,0))</f>
        <v>302522</v>
      </c>
      <c r="J61" s="97">
        <f t="shared" si="51"/>
        <v>57479.18</v>
      </c>
      <c r="K61" s="97">
        <f t="shared" si="52"/>
        <v>360001.18</v>
      </c>
      <c r="L61" s="97">
        <f t="shared" si="36"/>
        <v>2420176</v>
      </c>
      <c r="M61" s="97">
        <f t="shared" si="37"/>
        <v>2880009.44</v>
      </c>
      <c r="N61" s="81" t="str">
        <f>IF(C61="","",VLOOKUP(C61,listaBolsa!$D$2:$AZ$1276,23,0))</f>
        <v>JAC URBANIZACION EL LAGUITO DE SUBA</v>
      </c>
      <c r="O61" s="98">
        <f>IF(C61="","",VLOOKUP(C61,listaBolsa!$D$2:$AZ$1276,27,0))</f>
        <v>252101</v>
      </c>
      <c r="P61" s="99">
        <f t="shared" si="50"/>
        <v>47899.19</v>
      </c>
      <c r="Q61" s="99">
        <f t="shared" si="38"/>
        <v>300000.19</v>
      </c>
      <c r="R61" s="99">
        <f t="shared" si="39"/>
        <v>2016808</v>
      </c>
      <c r="S61" s="99">
        <f t="shared" si="40"/>
        <v>2400001.52</v>
      </c>
      <c r="T61" s="76"/>
      <c r="U61" s="100"/>
      <c r="V61" s="101"/>
      <c r="W61" s="101"/>
      <c r="X61" s="101"/>
      <c r="Y61" s="101"/>
      <c r="Z61" s="102">
        <f t="shared" si="45"/>
        <v>330001</v>
      </c>
      <c r="AA61" s="102">
        <f t="shared" si="46"/>
        <v>2640008</v>
      </c>
      <c r="AB61" s="103">
        <f t="shared" si="47"/>
        <v>339417</v>
      </c>
      <c r="AC61" s="77">
        <f t="shared" si="48"/>
        <v>0.12856665585861862</v>
      </c>
      <c r="AD61" s="5"/>
      <c r="AF61" s="7">
        <f>IF(C61="","",VLOOKUP(C61,listaBolsa!$D$2:$BB$276,51,0))</f>
        <v>0</v>
      </c>
      <c r="BG61" s="7">
        <v>60</v>
      </c>
      <c r="CA61" s="7" t="str">
        <f>VLOOKUP(C61,listaBolsa!$D$2:$BA$1248,1,0)</f>
        <v>Salón - Espacio Apto para 50 personas  (media jornada más equipos audiovisuales)</v>
      </c>
      <c r="CB61" s="7" t="str">
        <f>VLOOKUP(C61,listaBolsa!$D$2:$BA$1248,2,0)</f>
        <v>Espacio físico para 50 personas con baño, sillas y mesas, ubicado en la localidad de Suba, con disponibilidad de espacio exterior para desarrollo de actividades_x000D_
Dotado con equipo de computo, video beam y sonido_x000D_
Jornada de 4 horas</v>
      </c>
      <c r="CC61" s="7" t="str">
        <f>VLOOKUP(C61,listaBolsa!$D$2:$BA$1248,10,0)</f>
        <v xml:space="preserve">JAC PRADO PINZON </v>
      </c>
      <c r="CD61" s="7">
        <f>VLOOKUP(C61,listaBolsa!$D$2:$BA$1248,14,0)</f>
        <v>302522</v>
      </c>
      <c r="CE61" s="7" t="str">
        <f>VLOOKUP(C61,listaBolsa!$D$2:$BA$1248,23,0)</f>
        <v>JAC URBANIZACION EL LAGUITO DE SUBA</v>
      </c>
      <c r="CF61" s="7">
        <f>VLOOKUP(C61,listaBolsa!$D$2:$BA$1248,29,0)</f>
        <v>300000.19</v>
      </c>
      <c r="CG61" s="7">
        <f>VLOOKUP(C61,listaBolsa!$D$2:$BA$1248,36,0)</f>
        <v>0</v>
      </c>
      <c r="CH61" s="7">
        <f>VLOOKUP(C61,listaBolsa!$D$2:$BA$1248,40,0)</f>
        <v>0</v>
      </c>
      <c r="CI61" s="7">
        <f>VLOOKUP(C61,listaBolsa!$D$2:$BA$1248,48,0)</f>
        <v>0.12856627707188767</v>
      </c>
      <c r="CJ61" s="7" t="b">
        <f t="shared" si="53"/>
        <v>1</v>
      </c>
      <c r="CK61" s="7" t="b">
        <f t="shared" si="54"/>
        <v>0</v>
      </c>
      <c r="CL61" s="7" t="b">
        <f t="shared" si="55"/>
        <v>1</v>
      </c>
      <c r="CM61" s="7" t="b">
        <f t="shared" si="56"/>
        <v>1</v>
      </c>
      <c r="CN61" s="7" t="b">
        <f t="shared" si="57"/>
        <v>1</v>
      </c>
      <c r="CO61" s="7" t="b">
        <f t="shared" si="58"/>
        <v>0</v>
      </c>
      <c r="CP61" s="7" t="b">
        <f t="shared" si="59"/>
        <v>1</v>
      </c>
      <c r="CQ61" s="7" t="b">
        <f t="shared" si="60"/>
        <v>1</v>
      </c>
      <c r="CR61" s="7" t="b">
        <f t="shared" si="61"/>
        <v>0</v>
      </c>
    </row>
    <row r="62" spans="1:96" s="7" customFormat="1" ht="72">
      <c r="A62" s="75">
        <f t="shared" si="26"/>
        <v>61</v>
      </c>
      <c r="B62" s="210" t="s">
        <v>1452</v>
      </c>
      <c r="C62" s="205" t="s">
        <v>1439</v>
      </c>
      <c r="D62" s="205" t="s">
        <v>1440</v>
      </c>
      <c r="E62" s="211" t="s">
        <v>185</v>
      </c>
      <c r="F62" s="207">
        <v>400</v>
      </c>
      <c r="G62" s="205" t="s">
        <v>186</v>
      </c>
      <c r="H62" s="80" t="s">
        <v>1441</v>
      </c>
      <c r="I62" s="96">
        <v>23500</v>
      </c>
      <c r="J62" s="97">
        <f>I62*8%</f>
        <v>1880</v>
      </c>
      <c r="K62" s="97">
        <f t="shared" si="52"/>
        <v>25380</v>
      </c>
      <c r="L62" s="97">
        <f t="shared" ref="L62" si="75">IF(B62="","",(I62*F62))</f>
        <v>9400000</v>
      </c>
      <c r="M62" s="97">
        <f t="shared" ref="M62" si="76">IF(B62="","",(K62*F62))</f>
        <v>10152000</v>
      </c>
      <c r="N62" s="81" t="s">
        <v>1442</v>
      </c>
      <c r="O62" s="98">
        <v>24650</v>
      </c>
      <c r="P62" s="99">
        <f>O62*8%</f>
        <v>1972</v>
      </c>
      <c r="Q62" s="99">
        <f t="shared" ref="Q62" si="77">O62+P62</f>
        <v>26622</v>
      </c>
      <c r="R62" s="99">
        <f t="shared" ref="R62" si="78">IF(B62="","",(O62*F62))</f>
        <v>9860000</v>
      </c>
      <c r="S62" s="99">
        <f t="shared" ref="S62" si="79">IF(B62="","",(Q62*F62))</f>
        <v>10648800</v>
      </c>
      <c r="T62" s="76" t="s">
        <v>1443</v>
      </c>
      <c r="U62" s="100">
        <v>31500</v>
      </c>
      <c r="V62" s="101">
        <f>U62*8%</f>
        <v>2520</v>
      </c>
      <c r="W62" s="101">
        <f t="shared" ref="W62" si="80">U62+V62</f>
        <v>34020</v>
      </c>
      <c r="X62" s="101">
        <f t="shared" ref="X62" si="81">IF(B62="","",(U62*F62))</f>
        <v>12600000</v>
      </c>
      <c r="Y62" s="101">
        <f t="shared" ref="Y62" si="82">IF(B62="","",(W62*F62))</f>
        <v>13608000</v>
      </c>
      <c r="Z62" s="246">
        <f t="shared" si="45"/>
        <v>28674</v>
      </c>
      <c r="AA62" s="246">
        <f t="shared" si="46"/>
        <v>11469600</v>
      </c>
      <c r="AB62" s="247">
        <f t="shared" si="47"/>
        <v>1868494</v>
      </c>
      <c r="AC62" s="248">
        <f t="shared" si="48"/>
        <v>0.16290838390179257</v>
      </c>
      <c r="AD62" s="5"/>
      <c r="AF62" s="7" t="e">
        <f>IF(C62="","",VLOOKUP(C62,listaBolsa!$D$2:$BB$276,51,0))</f>
        <v>#N/A</v>
      </c>
      <c r="BG62" s="7">
        <v>61</v>
      </c>
      <c r="CA62" s="7" t="e">
        <f>VLOOKUP(C62,listaBolsa!$D$2:$BA$1248,1,0)</f>
        <v>#N/A</v>
      </c>
      <c r="CB62" s="7" t="e">
        <f>VLOOKUP(C62,listaBolsa!$D$2:$BA$1248,2,0)</f>
        <v>#N/A</v>
      </c>
      <c r="CC62" s="7" t="e">
        <f>VLOOKUP(C62,listaBolsa!$D$2:$BA$1248,10,0)</f>
        <v>#N/A</v>
      </c>
      <c r="CD62" s="7" t="e">
        <f>VLOOKUP(C62,listaBolsa!$D$2:$BA$1248,14,0)</f>
        <v>#N/A</v>
      </c>
      <c r="CE62" s="7" t="e">
        <f>VLOOKUP(C62,listaBolsa!$D$2:$BA$1248,23,0)</f>
        <v>#N/A</v>
      </c>
      <c r="CF62" s="7" t="e">
        <f>VLOOKUP(C62,listaBolsa!$D$2:$BA$1248,29,0)</f>
        <v>#N/A</v>
      </c>
      <c r="CG62" s="7" t="e">
        <f>VLOOKUP(C62,listaBolsa!$D$2:$BA$1248,36,0)</f>
        <v>#N/A</v>
      </c>
      <c r="CH62" s="7" t="e">
        <f>VLOOKUP(C62,listaBolsa!$D$2:$BA$1248,40,0)</f>
        <v>#N/A</v>
      </c>
      <c r="CI62" s="7" t="e">
        <f>VLOOKUP(C62,listaBolsa!$D$2:$BA$1248,48,0)</f>
        <v>#N/A</v>
      </c>
      <c r="CJ62" s="7" t="e">
        <f t="shared" si="53"/>
        <v>#N/A</v>
      </c>
      <c r="CK62" s="7" t="e">
        <f t="shared" si="54"/>
        <v>#N/A</v>
      </c>
      <c r="CL62" s="7" t="e">
        <f t="shared" si="55"/>
        <v>#N/A</v>
      </c>
      <c r="CM62" s="7" t="e">
        <f t="shared" si="56"/>
        <v>#N/A</v>
      </c>
      <c r="CN62" s="7" t="e">
        <f t="shared" si="57"/>
        <v>#N/A</v>
      </c>
      <c r="CO62" s="7" t="e">
        <f t="shared" si="58"/>
        <v>#N/A</v>
      </c>
      <c r="CP62" s="7" t="e">
        <f t="shared" si="59"/>
        <v>#N/A</v>
      </c>
      <c r="CQ62" s="7" t="e">
        <f t="shared" si="60"/>
        <v>#N/A</v>
      </c>
      <c r="CR62" s="7" t="e">
        <f t="shared" si="61"/>
        <v>#N/A</v>
      </c>
    </row>
    <row r="63" spans="1:96" s="7" customFormat="1" ht="140.25">
      <c r="A63" s="75">
        <f t="shared" si="26"/>
        <v>62</v>
      </c>
      <c r="B63" s="210" t="s">
        <v>1451</v>
      </c>
      <c r="C63" s="212" t="s">
        <v>1453</v>
      </c>
      <c r="D63" s="212" t="s">
        <v>1454</v>
      </c>
      <c r="E63" s="211" t="s">
        <v>185</v>
      </c>
      <c r="F63" s="207">
        <v>50</v>
      </c>
      <c r="G63" s="270" t="s">
        <v>186</v>
      </c>
      <c r="H63" s="278" t="s">
        <v>1455</v>
      </c>
      <c r="I63" s="278" t="s">
        <v>1456</v>
      </c>
      <c r="J63" s="278" t="s">
        <v>1457</v>
      </c>
      <c r="K63" s="278" t="s">
        <v>1458</v>
      </c>
      <c r="L63" s="278" t="s">
        <v>1459</v>
      </c>
      <c r="M63" s="278" t="s">
        <v>1460</v>
      </c>
      <c r="N63" s="271" t="s">
        <v>1461</v>
      </c>
      <c r="O63" s="269" t="s">
        <v>1462</v>
      </c>
      <c r="P63" s="269" t="s">
        <v>1463</v>
      </c>
      <c r="Q63" s="269" t="s">
        <v>1464</v>
      </c>
      <c r="R63" s="269" t="s">
        <v>1465</v>
      </c>
      <c r="S63" s="269" t="s">
        <v>1466</v>
      </c>
      <c r="T63" s="262" t="s">
        <v>1467</v>
      </c>
      <c r="U63" s="254" t="s">
        <v>1468</v>
      </c>
      <c r="V63" s="254" t="s">
        <v>1469</v>
      </c>
      <c r="W63" s="254" t="s">
        <v>1470</v>
      </c>
      <c r="X63" s="254" t="s">
        <v>1471</v>
      </c>
      <c r="Y63" s="254" t="s">
        <v>1472</v>
      </c>
      <c r="Z63" s="255" t="s">
        <v>1473</v>
      </c>
      <c r="AA63" s="252" t="s">
        <v>1474</v>
      </c>
      <c r="AB63" s="252" t="s">
        <v>1475</v>
      </c>
      <c r="AC63" s="253">
        <v>9.4799999999999995E-2</v>
      </c>
      <c r="AD63" s="245"/>
      <c r="AF63" s="7" t="e">
        <f>IF(C63="","",VLOOKUP(C63,listaBolsa!$D$2:$BB$276,51,0))</f>
        <v>#N/A</v>
      </c>
      <c r="BG63" s="7">
        <v>62</v>
      </c>
      <c r="CA63" s="7" t="e">
        <f>VLOOKUP(C63,listaBolsa!$D$2:$BA$1248,1,0)</f>
        <v>#N/A</v>
      </c>
      <c r="CB63" s="7" t="e">
        <f>VLOOKUP(C63,listaBolsa!$D$2:$BA$1248,2,0)</f>
        <v>#N/A</v>
      </c>
      <c r="CC63" s="7" t="e">
        <f>VLOOKUP(C63,listaBolsa!$D$2:$BA$1248,10,0)</f>
        <v>#N/A</v>
      </c>
      <c r="CD63" s="7" t="e">
        <f>VLOOKUP(C63,listaBolsa!$D$2:$BA$1248,14,0)</f>
        <v>#N/A</v>
      </c>
      <c r="CE63" s="7" t="e">
        <f>VLOOKUP(C63,listaBolsa!$D$2:$BA$1248,23,0)</f>
        <v>#N/A</v>
      </c>
      <c r="CF63" s="7" t="e">
        <f>VLOOKUP(C63,listaBolsa!$D$2:$BA$1248,29,0)</f>
        <v>#N/A</v>
      </c>
      <c r="CG63" s="7" t="e">
        <f>VLOOKUP(C63,listaBolsa!$D$2:$BA$1248,36,0)</f>
        <v>#N/A</v>
      </c>
      <c r="CH63" s="7" t="e">
        <f>VLOOKUP(C63,listaBolsa!$D$2:$BA$1248,40,0)</f>
        <v>#N/A</v>
      </c>
      <c r="CI63" s="7" t="e">
        <f>VLOOKUP(C63,listaBolsa!$D$2:$BA$1248,48,0)</f>
        <v>#N/A</v>
      </c>
      <c r="CJ63" s="7" t="e">
        <f t="shared" si="53"/>
        <v>#N/A</v>
      </c>
      <c r="CK63" s="7" t="e">
        <f t="shared" si="54"/>
        <v>#N/A</v>
      </c>
      <c r="CL63" s="7" t="e">
        <f t="shared" si="55"/>
        <v>#N/A</v>
      </c>
      <c r="CM63" s="7" t="e">
        <f t="shared" si="56"/>
        <v>#N/A</v>
      </c>
      <c r="CN63" s="7" t="e">
        <f t="shared" si="57"/>
        <v>#N/A</v>
      </c>
      <c r="CO63" s="7" t="e">
        <f t="shared" si="58"/>
        <v>#N/A</v>
      </c>
      <c r="CP63" s="7" t="e">
        <f t="shared" si="59"/>
        <v>#N/A</v>
      </c>
      <c r="CQ63" s="7" t="e">
        <f t="shared" si="60"/>
        <v>#N/A</v>
      </c>
      <c r="CR63" s="7" t="e">
        <f t="shared" si="61"/>
        <v>#N/A</v>
      </c>
    </row>
    <row r="64" spans="1:96" s="7" customFormat="1" ht="90">
      <c r="A64" s="75">
        <f t="shared" si="26"/>
        <v>63</v>
      </c>
      <c r="B64" s="210" t="s">
        <v>1451</v>
      </c>
      <c r="C64" s="212" t="s">
        <v>707</v>
      </c>
      <c r="D64" s="212" t="s">
        <v>1476</v>
      </c>
      <c r="E64" s="211" t="s">
        <v>185</v>
      </c>
      <c r="F64" s="207">
        <v>50</v>
      </c>
      <c r="G64" s="205" t="s">
        <v>186</v>
      </c>
      <c r="H64" s="275" t="str">
        <f>IF(C64="","",VLOOKUP(C64,listaBolsa!$D$2:$W$1118,10,0))</f>
        <v>Papeleria  la Estacion de Suba</v>
      </c>
      <c r="I64" s="276">
        <f>IF(C64="","",VLOOKUP(C64,listaBolsa!$D$2:$W$1118,14,0))</f>
        <v>4369.7478991596645</v>
      </c>
      <c r="J64" s="277">
        <f t="shared" si="51"/>
        <v>830.25210084033631</v>
      </c>
      <c r="K64" s="277">
        <f t="shared" si="52"/>
        <v>5200.0000000000009</v>
      </c>
      <c r="L64" s="277">
        <f t="shared" si="36"/>
        <v>218487.39495798323</v>
      </c>
      <c r="M64" s="277">
        <f t="shared" si="37"/>
        <v>260000.00000000006</v>
      </c>
      <c r="N64" s="266" t="str">
        <f>IF(C64="","",VLOOKUP(C64,listaBolsa!$D$2:$AZ$1276,23,0))</f>
        <v>Lana Cielo</v>
      </c>
      <c r="O64" s="267">
        <f>IF(C64="","",VLOOKUP(C64,listaBolsa!$D$2:$AZ$1276,27,0))</f>
        <v>4621.8487394957983</v>
      </c>
      <c r="P64" s="268">
        <f t="shared" si="50"/>
        <v>878.15126050420167</v>
      </c>
      <c r="Q64" s="268">
        <f t="shared" si="38"/>
        <v>5500</v>
      </c>
      <c r="R64" s="268">
        <f t="shared" si="39"/>
        <v>231092.43697478992</v>
      </c>
      <c r="S64" s="268">
        <f t="shared" si="40"/>
        <v>275000</v>
      </c>
      <c r="T64" s="259" t="str">
        <f>IF(C64="","",VLOOKUP(C64,listaBolsa!$D$2:$BB$1276,36,0))</f>
        <v>INVER Y DISTRIBUIDORES DIAMOND</v>
      </c>
      <c r="U64" s="260">
        <f>IF(C64="","",VLOOKUP(C64,listaBolsa!$D$2:$BB$1276,40,0))</f>
        <v>5200</v>
      </c>
      <c r="V64" s="261">
        <f t="shared" si="41"/>
        <v>988</v>
      </c>
      <c r="W64" s="261">
        <f t="shared" si="42"/>
        <v>6188</v>
      </c>
      <c r="X64" s="261">
        <f t="shared" si="43"/>
        <v>260000</v>
      </c>
      <c r="Y64" s="261">
        <f t="shared" si="44"/>
        <v>309400</v>
      </c>
      <c r="Z64" s="249">
        <f t="shared" si="45"/>
        <v>5629</v>
      </c>
      <c r="AA64" s="249">
        <f t="shared" si="46"/>
        <v>281450</v>
      </c>
      <c r="AB64" s="250">
        <f t="shared" si="47"/>
        <v>25327</v>
      </c>
      <c r="AC64" s="251">
        <f t="shared" si="48"/>
        <v>8.9987564398649855E-2</v>
      </c>
      <c r="AD64" s="5"/>
      <c r="AF64" s="7">
        <f>IF(C64="","",VLOOKUP(C64,listaBolsa!$D$2:$BB$276,51,0))</f>
        <v>0</v>
      </c>
      <c r="BG64" s="7">
        <v>63</v>
      </c>
      <c r="CA64" s="7" t="str">
        <f>VLOOKUP(C64,listaBolsa!$D$2:$BA$1248,1,0)</f>
        <v>Lana de colores 6 mm</v>
      </c>
      <c r="CB64" s="7" t="str">
        <f>VLOOKUP(C64,listaBolsa!$D$2:$BA$1248,2,0)</f>
        <v>Lana 6mm antialérgica 100% algodón. Madeja de fibra natural 100% algodón antialérgico de 6 mm de grosor y un peso de 100 gramos. Hebra de textura suave y composición transpirable, disponible en gama de colores variados.</v>
      </c>
      <c r="CC64" s="7" t="str">
        <f>VLOOKUP(C64,listaBolsa!$D$2:$BA$1248,10,0)</f>
        <v>Papeleria  la Estacion de Suba</v>
      </c>
      <c r="CD64" s="7">
        <f>VLOOKUP(C64,listaBolsa!$D$2:$BA$1248,14,0)</f>
        <v>4369.7478991596645</v>
      </c>
      <c r="CE64" s="7" t="str">
        <f>VLOOKUP(C64,listaBolsa!$D$2:$BA$1248,23,0)</f>
        <v>Lana Cielo</v>
      </c>
      <c r="CF64" s="7">
        <f>VLOOKUP(C64,listaBolsa!$D$2:$BA$1248,29,0)</f>
        <v>5500</v>
      </c>
      <c r="CG64" s="7" t="str">
        <f>VLOOKUP(C64,listaBolsa!$D$2:$BA$1248,36,0)</f>
        <v>INVER Y DISTRIBUIDORES DIAMOND</v>
      </c>
      <c r="CH64" s="7">
        <f>VLOOKUP(C64,listaBolsa!$D$2:$BA$1248,40,0)</f>
        <v>5200</v>
      </c>
      <c r="CI64" s="7">
        <f>VLOOKUP(C64,listaBolsa!$D$2:$BA$1248,48,0)</f>
        <v>9.0069284064665134E-2</v>
      </c>
      <c r="CJ64" s="7" t="b">
        <f t="shared" si="53"/>
        <v>1</v>
      </c>
      <c r="CK64" s="7" t="b">
        <f t="shared" si="54"/>
        <v>0</v>
      </c>
      <c r="CL64" s="7" t="b">
        <f t="shared" si="55"/>
        <v>1</v>
      </c>
      <c r="CM64" s="7" t="b">
        <f t="shared" si="56"/>
        <v>1</v>
      </c>
      <c r="CN64" s="7" t="b">
        <f t="shared" si="57"/>
        <v>1</v>
      </c>
      <c r="CO64" s="7" t="b">
        <f t="shared" si="58"/>
        <v>0</v>
      </c>
      <c r="CP64" s="7" t="b">
        <f t="shared" si="59"/>
        <v>1</v>
      </c>
      <c r="CQ64" s="7" t="b">
        <f t="shared" si="60"/>
        <v>1</v>
      </c>
      <c r="CR64" s="7" t="b">
        <f t="shared" si="61"/>
        <v>0</v>
      </c>
    </row>
    <row r="65" spans="1:96" s="7" customFormat="1" ht="90">
      <c r="A65" s="75">
        <f t="shared" si="26"/>
        <v>64</v>
      </c>
      <c r="B65" s="210" t="s">
        <v>1451</v>
      </c>
      <c r="C65" s="212" t="s">
        <v>707</v>
      </c>
      <c r="D65" s="212" t="s">
        <v>1476</v>
      </c>
      <c r="E65" s="211" t="s">
        <v>185</v>
      </c>
      <c r="F65" s="207">
        <v>300</v>
      </c>
      <c r="G65" s="205" t="s">
        <v>186</v>
      </c>
      <c r="H65" s="80" t="str">
        <f>IF(C65="","",VLOOKUP(C65,listaBolsa!$D$2:$W$1118,10,0))</f>
        <v>Papeleria  la Estacion de Suba</v>
      </c>
      <c r="I65" s="96">
        <f>IF(C65="","",VLOOKUP(C65,listaBolsa!$D$2:$W$1118,14,0))</f>
        <v>4369.7478991596645</v>
      </c>
      <c r="J65" s="97">
        <f t="shared" si="51"/>
        <v>830.25210084033631</v>
      </c>
      <c r="K65" s="97">
        <f t="shared" si="52"/>
        <v>5200.0000000000009</v>
      </c>
      <c r="L65" s="97">
        <f t="shared" si="36"/>
        <v>1310924.3697478992</v>
      </c>
      <c r="M65" s="97">
        <f t="shared" si="37"/>
        <v>1560000.0000000002</v>
      </c>
      <c r="N65" s="81" t="str">
        <f>IF(C65="","",VLOOKUP(C65,listaBolsa!$D$2:$AZ$1276,23,0))</f>
        <v>Lana Cielo</v>
      </c>
      <c r="O65" s="98">
        <f>IF(C65="","",VLOOKUP(C65,listaBolsa!$D$2:$AZ$1276,27,0))</f>
        <v>4621.8487394957983</v>
      </c>
      <c r="P65" s="99">
        <f t="shared" si="50"/>
        <v>878.15126050420167</v>
      </c>
      <c r="Q65" s="99">
        <f t="shared" si="38"/>
        <v>5500</v>
      </c>
      <c r="R65" s="99">
        <f t="shared" si="39"/>
        <v>1386554.6218487395</v>
      </c>
      <c r="S65" s="99">
        <f t="shared" si="40"/>
        <v>1650000</v>
      </c>
      <c r="T65" s="76" t="str">
        <f>IF(C65="","",VLOOKUP(C65,listaBolsa!$D$2:$BB$1276,36,0))</f>
        <v>INVER Y DISTRIBUIDORES DIAMOND</v>
      </c>
      <c r="U65" s="100">
        <f>IF(C65="","",VLOOKUP(C65,listaBolsa!$D$2:$BB$1276,40,0))</f>
        <v>5200</v>
      </c>
      <c r="V65" s="101">
        <f t="shared" si="41"/>
        <v>988</v>
      </c>
      <c r="W65" s="101">
        <f t="shared" si="42"/>
        <v>6188</v>
      </c>
      <c r="X65" s="101">
        <f t="shared" si="43"/>
        <v>1560000</v>
      </c>
      <c r="Y65" s="101">
        <f t="shared" si="44"/>
        <v>1856400</v>
      </c>
      <c r="Z65" s="102">
        <f t="shared" si="45"/>
        <v>5629</v>
      </c>
      <c r="AA65" s="102">
        <f t="shared" si="46"/>
        <v>1688700</v>
      </c>
      <c r="AB65" s="103">
        <f t="shared" si="47"/>
        <v>151962</v>
      </c>
      <c r="AC65" s="77">
        <f t="shared" si="48"/>
        <v>8.9987564398649855E-2</v>
      </c>
      <c r="AD65" s="5"/>
      <c r="AF65" s="7">
        <f>IF(C65="","",VLOOKUP(C65,listaBolsa!$D$2:$BB$276,51,0))</f>
        <v>0</v>
      </c>
      <c r="BG65" s="7">
        <v>64</v>
      </c>
      <c r="CA65" s="7" t="str">
        <f>VLOOKUP(C65,listaBolsa!$D$2:$BA$1248,1,0)</f>
        <v>Lana de colores 6 mm</v>
      </c>
      <c r="CB65" s="7" t="str">
        <f>VLOOKUP(C65,listaBolsa!$D$2:$BA$1248,2,0)</f>
        <v>Lana 6mm antialérgica 100% algodón. Madeja de fibra natural 100% algodón antialérgico de 6 mm de grosor y un peso de 100 gramos. Hebra de textura suave y composición transpirable, disponible en gama de colores variados.</v>
      </c>
      <c r="CC65" s="7" t="str">
        <f>VLOOKUP(C65,listaBolsa!$D$2:$BA$1248,10,0)</f>
        <v>Papeleria  la Estacion de Suba</v>
      </c>
      <c r="CD65" s="7">
        <f>VLOOKUP(C65,listaBolsa!$D$2:$BA$1248,14,0)</f>
        <v>4369.7478991596645</v>
      </c>
      <c r="CE65" s="7" t="str">
        <f>VLOOKUP(C65,listaBolsa!$D$2:$BA$1248,23,0)</f>
        <v>Lana Cielo</v>
      </c>
      <c r="CF65" s="7">
        <f>VLOOKUP(C65,listaBolsa!$D$2:$BA$1248,29,0)</f>
        <v>5500</v>
      </c>
      <c r="CG65" s="7" t="str">
        <f>VLOOKUP(C65,listaBolsa!$D$2:$BA$1248,36,0)</f>
        <v>INVER Y DISTRIBUIDORES DIAMOND</v>
      </c>
      <c r="CH65" s="7">
        <f>VLOOKUP(C65,listaBolsa!$D$2:$BA$1248,40,0)</f>
        <v>5200</v>
      </c>
      <c r="CI65" s="7">
        <f>VLOOKUP(C65,listaBolsa!$D$2:$BA$1248,48,0)</f>
        <v>9.0069284064665134E-2</v>
      </c>
      <c r="CJ65" s="7" t="b">
        <f t="shared" si="53"/>
        <v>1</v>
      </c>
      <c r="CK65" s="7" t="b">
        <f t="shared" si="54"/>
        <v>0</v>
      </c>
      <c r="CL65" s="7" t="b">
        <f t="shared" si="55"/>
        <v>1</v>
      </c>
      <c r="CM65" s="7" t="b">
        <f t="shared" si="56"/>
        <v>1</v>
      </c>
      <c r="CN65" s="7" t="b">
        <f t="shared" si="57"/>
        <v>1</v>
      </c>
      <c r="CO65" s="7" t="b">
        <f t="shared" si="58"/>
        <v>0</v>
      </c>
      <c r="CP65" s="7" t="b">
        <f t="shared" si="59"/>
        <v>1</v>
      </c>
      <c r="CQ65" s="7" t="b">
        <f t="shared" si="60"/>
        <v>1</v>
      </c>
      <c r="CR65" s="7" t="b">
        <f t="shared" si="61"/>
        <v>0</v>
      </c>
    </row>
    <row r="66" spans="1:96" s="7" customFormat="1" ht="70.5">
      <c r="A66" s="75">
        <f t="shared" si="26"/>
        <v>65</v>
      </c>
      <c r="B66" s="210" t="s">
        <v>1451</v>
      </c>
      <c r="C66" s="212" t="s">
        <v>1477</v>
      </c>
      <c r="D66" s="212" t="s">
        <v>1478</v>
      </c>
      <c r="E66" s="211" t="s">
        <v>185</v>
      </c>
      <c r="F66" s="207">
        <v>50</v>
      </c>
      <c r="G66" s="205" t="s">
        <v>186</v>
      </c>
      <c r="H66" s="244" t="s">
        <v>1461</v>
      </c>
      <c r="I66" s="236">
        <v>3812</v>
      </c>
      <c r="J66" s="237">
        <f t="shared" si="51"/>
        <v>724.28</v>
      </c>
      <c r="K66" s="237">
        <f t="shared" si="52"/>
        <v>4536.28</v>
      </c>
      <c r="L66" s="237">
        <f t="shared" si="36"/>
        <v>190600</v>
      </c>
      <c r="M66" s="237">
        <f t="shared" si="37"/>
        <v>226814</v>
      </c>
      <c r="N66" s="238" t="s">
        <v>1479</v>
      </c>
      <c r="O66" s="239">
        <v>3741</v>
      </c>
      <c r="P66" s="240">
        <f t="shared" si="50"/>
        <v>710.79</v>
      </c>
      <c r="Q66" s="240">
        <f t="shared" si="38"/>
        <v>4451.79</v>
      </c>
      <c r="R66" s="240">
        <f t="shared" si="39"/>
        <v>187050</v>
      </c>
      <c r="S66" s="240">
        <f t="shared" si="40"/>
        <v>222589.5</v>
      </c>
      <c r="T66" s="241" t="s">
        <v>1480</v>
      </c>
      <c r="U66" s="242">
        <v>3361</v>
      </c>
      <c r="V66" s="243">
        <f t="shared" si="41"/>
        <v>638.59</v>
      </c>
      <c r="W66" s="243">
        <f t="shared" si="42"/>
        <v>3999.59</v>
      </c>
      <c r="X66" s="243">
        <f t="shared" si="43"/>
        <v>168050</v>
      </c>
      <c r="Y66" s="243">
        <f t="shared" si="44"/>
        <v>199979.5</v>
      </c>
      <c r="Z66" s="279">
        <f t="shared" si="45"/>
        <v>4329</v>
      </c>
      <c r="AA66" s="279">
        <f t="shared" si="46"/>
        <v>216450</v>
      </c>
      <c r="AB66" s="280">
        <f t="shared" si="47"/>
        <v>14429</v>
      </c>
      <c r="AC66" s="281">
        <f t="shared" si="48"/>
        <v>6.6662046662046656E-2</v>
      </c>
      <c r="AD66" s="5"/>
      <c r="AF66" s="7" t="e">
        <f>IF(C66="","",VLOOKUP(C66,listaBolsa!$D$2:$BB$276,51,0))</f>
        <v>#N/A</v>
      </c>
      <c r="BG66" s="7">
        <v>65</v>
      </c>
      <c r="CA66" s="7" t="e">
        <f>VLOOKUP(C66,listaBolsa!$D$2:$BA$1248,1,0)</f>
        <v>#N/A</v>
      </c>
      <c r="CB66" s="7" t="e">
        <f>VLOOKUP(C66,listaBolsa!$D$2:$BA$1248,2,0)</f>
        <v>#N/A</v>
      </c>
      <c r="CC66" s="7" t="e">
        <f>VLOOKUP(C66,listaBolsa!$D$2:$BA$1248,10,0)</f>
        <v>#N/A</v>
      </c>
      <c r="CD66" s="7" t="e">
        <f>VLOOKUP(C66,listaBolsa!$D$2:$BA$1248,14,0)</f>
        <v>#N/A</v>
      </c>
      <c r="CE66" s="7" t="e">
        <f>VLOOKUP(C66,listaBolsa!$D$2:$BA$1248,23,0)</f>
        <v>#N/A</v>
      </c>
      <c r="CF66" s="7" t="e">
        <f>VLOOKUP(C66,listaBolsa!$D$2:$BA$1248,29,0)</f>
        <v>#N/A</v>
      </c>
      <c r="CG66" s="7" t="e">
        <f>VLOOKUP(C66,listaBolsa!$D$2:$BA$1248,36,0)</f>
        <v>#N/A</v>
      </c>
      <c r="CH66" s="7" t="e">
        <f>VLOOKUP(C66,listaBolsa!$D$2:$BA$1248,40,0)</f>
        <v>#N/A</v>
      </c>
      <c r="CI66" s="7" t="e">
        <f>VLOOKUP(C66,listaBolsa!$D$2:$BA$1248,48,0)</f>
        <v>#N/A</v>
      </c>
      <c r="CJ66" s="7" t="e">
        <f t="shared" ref="CJ66:CJ70" si="83">CA66=C66</f>
        <v>#N/A</v>
      </c>
      <c r="CK66" s="7" t="e">
        <f t="shared" ref="CK66:CK70" si="84">CB66=D66</f>
        <v>#N/A</v>
      </c>
      <c r="CL66" s="7" t="e">
        <f t="shared" ref="CL66:CL70" si="85">CC66=H66</f>
        <v>#N/A</v>
      </c>
      <c r="CM66" s="7" t="e">
        <f t="shared" ref="CM66:CM70" si="86">CD66=I66</f>
        <v>#N/A</v>
      </c>
      <c r="CN66" s="7" t="e">
        <f t="shared" ref="CN66:CN70" si="87">CE66=N66</f>
        <v>#N/A</v>
      </c>
      <c r="CO66" s="7" t="e">
        <f t="shared" ref="CO66:CO70" si="88">CF66=O66</f>
        <v>#N/A</v>
      </c>
      <c r="CP66" s="7" t="e">
        <f t="shared" ref="CP66:CP70" si="89">CG66=T66</f>
        <v>#N/A</v>
      </c>
      <c r="CQ66" s="7" t="e">
        <f t="shared" ref="CQ66:CQ70" si="90">CH66=U66</f>
        <v>#N/A</v>
      </c>
      <c r="CR66" s="7" t="e">
        <f t="shared" ref="CR66:CR70" si="91">CI66=AC66</f>
        <v>#N/A</v>
      </c>
    </row>
    <row r="67" spans="1:96" s="7" customFormat="1" ht="75">
      <c r="A67" s="75">
        <f t="shared" ref="A67:A70" si="92">IF(B67&lt;&gt;"",BG67,"")</f>
        <v>66</v>
      </c>
      <c r="B67" s="210" t="s">
        <v>1451</v>
      </c>
      <c r="C67" s="213" t="s">
        <v>1047</v>
      </c>
      <c r="D67" s="213" t="s">
        <v>1048</v>
      </c>
      <c r="E67" s="211" t="s">
        <v>185</v>
      </c>
      <c r="F67" s="207">
        <v>50</v>
      </c>
      <c r="G67" s="205" t="s">
        <v>186</v>
      </c>
      <c r="H67" s="80" t="str">
        <f>IF(C67="","",VLOOKUP(C67,listaBolsa!$D$2:$W$1118,10,0))</f>
        <v>HOMECENTER</v>
      </c>
      <c r="I67" s="96">
        <f>IF(C67="","",VLOOKUP(C67,listaBolsa!$D$2:$W$1118,14,0))</f>
        <v>38571.428571428572</v>
      </c>
      <c r="J67" s="97">
        <f t="shared" ref="J67:J69" si="93">I67*19%</f>
        <v>7328.5714285714284</v>
      </c>
      <c r="K67" s="97">
        <f t="shared" ref="K67:K69" si="94">I67+J67</f>
        <v>45900</v>
      </c>
      <c r="L67" s="97">
        <f t="shared" ref="L67:L69" si="95">IF(B67="","",(I67*F67))</f>
        <v>1928571.4285714286</v>
      </c>
      <c r="M67" s="97">
        <f t="shared" ref="M67:M69" si="96">IF(B67="","",(K67*F67))</f>
        <v>2295000</v>
      </c>
      <c r="N67" s="81" t="str">
        <f>IF(C67="","",VLOOKUP(C67,listaBolsa!$D$2:$AZ$1276,23,0))</f>
        <v>IMPORTADORA NOVACOL</v>
      </c>
      <c r="O67" s="98">
        <f>IF(C67="","",VLOOKUP(C67,listaBolsa!$D$2:$AZ$1276,27,0))</f>
        <v>45378.151260504201</v>
      </c>
      <c r="P67" s="99">
        <f t="shared" ref="P67:P69" si="97">O67*19%</f>
        <v>8621.8487394957974</v>
      </c>
      <c r="Q67" s="99">
        <f t="shared" ref="Q67:Q69" si="98">O67+P67</f>
        <v>54000</v>
      </c>
      <c r="R67" s="99">
        <f t="shared" ref="R67:R69" si="99">IF(B67="","",(O67*F67))</f>
        <v>2268907.5630252101</v>
      </c>
      <c r="S67" s="99">
        <f t="shared" ref="S67:S69" si="100">IF(B67="","",(Q67*F67))</f>
        <v>2700000</v>
      </c>
      <c r="T67" s="76" t="str">
        <f>IF(C67="","",VLOOKUP(C67,listaBolsa!$D$2:$BB$1276,36,0))</f>
        <v>PAPYSER</v>
      </c>
      <c r="U67" s="100">
        <f>IF(C67="","",VLOOKUP(C67,listaBolsa!$D$2:$BB$1276,40,0))</f>
        <v>33124.36974789916</v>
      </c>
      <c r="V67" s="101">
        <f t="shared" ref="V67:V69" si="101">U67*19%</f>
        <v>6293.6302521008402</v>
      </c>
      <c r="W67" s="101">
        <f t="shared" ref="W67:W69" si="102">U67+V67</f>
        <v>39418</v>
      </c>
      <c r="X67" s="101">
        <f t="shared" ref="X67:X69" si="103">IF(B67="","",(U67*F67))</f>
        <v>1656218.487394958</v>
      </c>
      <c r="Y67" s="101">
        <f t="shared" ref="Y67:Y69" si="104">IF(B67="","",(W67*F67))</f>
        <v>1970900</v>
      </c>
      <c r="Z67" s="102">
        <f>IF(A67="","",ROUND(AVERAGE(K67,Q67,W67),0))</f>
        <v>46439</v>
      </c>
      <c r="AA67" s="102">
        <f t="shared" ref="AA67:AA69" si="105">IF(B67="","",Z67*F67)</f>
        <v>2321950</v>
      </c>
      <c r="AB67" s="103">
        <f t="shared" ref="AB67:AB69" si="106">IF(B67="","",ROUND(STDEV(M67,S67,Y67),0))</f>
        <v>365297</v>
      </c>
      <c r="AC67" s="77">
        <f t="shared" ref="AC67:AC69" si="107">IF(B67="","",(AB67/AA67))</f>
        <v>0.15732337044294667</v>
      </c>
      <c r="AD67" s="5"/>
      <c r="AF67" s="7">
        <f>IF(C67="","",VLOOKUP(C67,listaBolsa!$D$2:$BB$276,51,0))</f>
        <v>0</v>
      </c>
      <c r="BG67" s="7">
        <v>66</v>
      </c>
      <c r="CA67" s="7" t="str">
        <f>VLOOKUP(C67,listaBolsa!$D$2:$BA$1248,1,0)</f>
        <v>Tijera para cortar tela (tipo modista)</v>
      </c>
      <c r="CB67" s="7" t="str">
        <f>VLOOKUP(C67,listaBolsa!$D$2:$BA$1248,2,0)</f>
        <v>Tijera de modistería 7.5": Herramienta de corte con hojas de acero forjado de alta resistencia y filo rectificado. Cuenta con mango ergonómico recubierto en silicona o polímero de alto impacto.</v>
      </c>
      <c r="CC67" s="7" t="str">
        <f>VLOOKUP(C67,listaBolsa!$D$2:$BA$1248,10,0)</f>
        <v>HOMECENTER</v>
      </c>
      <c r="CD67" s="7">
        <f>VLOOKUP(C67,listaBolsa!$D$2:$BA$1248,14,0)</f>
        <v>38571.428571428572</v>
      </c>
      <c r="CE67" s="7" t="str">
        <f>VLOOKUP(C67,listaBolsa!$D$2:$BA$1248,23,0)</f>
        <v>IMPORTADORA NOVACOL</v>
      </c>
      <c r="CF67" s="7">
        <f>VLOOKUP(C67,listaBolsa!$D$2:$BA$1248,29,0)</f>
        <v>54000.151260504201</v>
      </c>
      <c r="CG67" s="7" t="str">
        <f>VLOOKUP(C67,listaBolsa!$D$2:$BA$1248,36,0)</f>
        <v>PAPYSER</v>
      </c>
      <c r="CH67" s="7">
        <f>VLOOKUP(C67,listaBolsa!$D$2:$BA$1248,40,0)</f>
        <v>33124.36974789916</v>
      </c>
      <c r="CI67" s="7">
        <f>VLOOKUP(C67,listaBolsa!$D$2:$BA$1248,48,0)</f>
        <v>0.15732127476313523</v>
      </c>
      <c r="CJ67" s="7" t="b">
        <f t="shared" si="83"/>
        <v>1</v>
      </c>
      <c r="CK67" s="7" t="b">
        <f t="shared" si="84"/>
        <v>1</v>
      </c>
      <c r="CL67" s="7" t="b">
        <f t="shared" si="85"/>
        <v>1</v>
      </c>
      <c r="CM67" s="7" t="b">
        <f t="shared" si="86"/>
        <v>1</v>
      </c>
      <c r="CN67" s="7" t="b">
        <f t="shared" si="87"/>
        <v>1</v>
      </c>
      <c r="CO67" s="7" t="b">
        <f t="shared" si="88"/>
        <v>0</v>
      </c>
      <c r="CP67" s="7" t="b">
        <f t="shared" si="89"/>
        <v>1</v>
      </c>
      <c r="CQ67" s="7" t="b">
        <f t="shared" si="90"/>
        <v>1</v>
      </c>
      <c r="CR67" s="7" t="b">
        <f t="shared" si="91"/>
        <v>0</v>
      </c>
    </row>
    <row r="68" spans="1:96" s="7" customFormat="1" ht="70.5">
      <c r="A68" s="75">
        <f t="shared" si="92"/>
        <v>67</v>
      </c>
      <c r="B68" s="210" t="s">
        <v>1451</v>
      </c>
      <c r="C68" s="212" t="s">
        <v>1481</v>
      </c>
      <c r="D68" s="212" t="s">
        <v>1482</v>
      </c>
      <c r="E68" s="211" t="s">
        <v>185</v>
      </c>
      <c r="F68" s="207">
        <v>50</v>
      </c>
      <c r="G68" s="205" t="s">
        <v>186</v>
      </c>
      <c r="H68" s="80" t="s">
        <v>1483</v>
      </c>
      <c r="I68" s="96">
        <v>1208.4000000000001</v>
      </c>
      <c r="J68" s="97">
        <f t="shared" si="93"/>
        <v>229.59600000000003</v>
      </c>
      <c r="K68" s="97">
        <f t="shared" si="94"/>
        <v>1437.9960000000001</v>
      </c>
      <c r="L68" s="97">
        <f t="shared" si="95"/>
        <v>60420.000000000007</v>
      </c>
      <c r="M68" s="97">
        <f t="shared" si="96"/>
        <v>71899.8</v>
      </c>
      <c r="N68" s="81" t="s">
        <v>1484</v>
      </c>
      <c r="O68" s="98">
        <v>924.37</v>
      </c>
      <c r="P68" s="99">
        <f t="shared" si="97"/>
        <v>175.63030000000001</v>
      </c>
      <c r="Q68" s="99">
        <f t="shared" si="98"/>
        <v>1100.0002999999999</v>
      </c>
      <c r="R68" s="99">
        <f t="shared" si="99"/>
        <v>46218.5</v>
      </c>
      <c r="S68" s="99">
        <f t="shared" si="100"/>
        <v>55000.014999999999</v>
      </c>
      <c r="T68" s="76" t="s">
        <v>1485</v>
      </c>
      <c r="U68" s="100">
        <v>924.37</v>
      </c>
      <c r="V68" s="101">
        <f t="shared" si="101"/>
        <v>175.63030000000001</v>
      </c>
      <c r="W68" s="101">
        <f t="shared" si="102"/>
        <v>1100.0002999999999</v>
      </c>
      <c r="X68" s="101">
        <f t="shared" si="103"/>
        <v>46218.5</v>
      </c>
      <c r="Y68" s="101">
        <f t="shared" si="104"/>
        <v>55000.014999999999</v>
      </c>
      <c r="Z68" s="102">
        <f t="shared" ref="Z68:Z69" si="108">IF(A68="","",ROUND(AVERAGE(K68,Q68,W68),0))</f>
        <v>1213</v>
      </c>
      <c r="AA68" s="102">
        <f t="shared" si="105"/>
        <v>60650</v>
      </c>
      <c r="AB68" s="103">
        <f t="shared" si="106"/>
        <v>9757</v>
      </c>
      <c r="AC68" s="77">
        <f t="shared" si="107"/>
        <v>0.16087386644682605</v>
      </c>
      <c r="AD68" s="5"/>
      <c r="AF68" s="7" t="e">
        <f>IF(C68="","",VLOOKUP(C68,listaBolsa!$D$2:$BB$276,51,0))</f>
        <v>#N/A</v>
      </c>
      <c r="BG68" s="7">
        <v>67</v>
      </c>
      <c r="CA68" s="7" t="e">
        <f>VLOOKUP(C68,listaBolsa!$D$2:$BA$1248,1,0)</f>
        <v>#N/A</v>
      </c>
      <c r="CB68" s="7" t="e">
        <f>VLOOKUP(C68,listaBolsa!$D$2:$BA$1248,2,0)</f>
        <v>#N/A</v>
      </c>
      <c r="CC68" s="7" t="e">
        <f>VLOOKUP(C68,listaBolsa!$D$2:$BA$1248,10,0)</f>
        <v>#N/A</v>
      </c>
      <c r="CD68" s="7" t="e">
        <f>VLOOKUP(C68,listaBolsa!$D$2:$BA$1248,14,0)</f>
        <v>#N/A</v>
      </c>
      <c r="CE68" s="7" t="e">
        <f>VLOOKUP(C68,listaBolsa!$D$2:$BA$1248,23,0)</f>
        <v>#N/A</v>
      </c>
      <c r="CF68" s="7" t="e">
        <f>VLOOKUP(C68,listaBolsa!$D$2:$BA$1248,29,0)</f>
        <v>#N/A</v>
      </c>
      <c r="CG68" s="7" t="e">
        <f>VLOOKUP(C68,listaBolsa!$D$2:$BA$1248,36,0)</f>
        <v>#N/A</v>
      </c>
      <c r="CH68" s="7" t="e">
        <f>VLOOKUP(C68,listaBolsa!$D$2:$BA$1248,40,0)</f>
        <v>#N/A</v>
      </c>
      <c r="CI68" s="7" t="e">
        <f>VLOOKUP(C68,listaBolsa!$D$2:$BA$1248,48,0)</f>
        <v>#N/A</v>
      </c>
      <c r="CJ68" s="7" t="e">
        <f t="shared" si="83"/>
        <v>#N/A</v>
      </c>
      <c r="CK68" s="7" t="e">
        <f t="shared" si="84"/>
        <v>#N/A</v>
      </c>
      <c r="CL68" s="7" t="e">
        <f t="shared" si="85"/>
        <v>#N/A</v>
      </c>
      <c r="CM68" s="7" t="e">
        <f t="shared" si="86"/>
        <v>#N/A</v>
      </c>
      <c r="CN68" s="7" t="e">
        <f t="shared" si="87"/>
        <v>#N/A</v>
      </c>
      <c r="CO68" s="7" t="e">
        <f t="shared" si="88"/>
        <v>#N/A</v>
      </c>
      <c r="CP68" s="7" t="e">
        <f t="shared" si="89"/>
        <v>#N/A</v>
      </c>
      <c r="CQ68" s="7" t="e">
        <f t="shared" si="90"/>
        <v>#N/A</v>
      </c>
      <c r="CR68" s="7" t="e">
        <f t="shared" si="91"/>
        <v>#N/A</v>
      </c>
    </row>
    <row r="69" spans="1:96" s="7" customFormat="1" ht="117">
      <c r="A69" s="75">
        <f t="shared" si="92"/>
        <v>68</v>
      </c>
      <c r="B69" s="210" t="s">
        <v>1451</v>
      </c>
      <c r="C69" s="214" t="s">
        <v>1486</v>
      </c>
      <c r="D69" s="215" t="s">
        <v>1487</v>
      </c>
      <c r="E69" s="211" t="s">
        <v>185</v>
      </c>
      <c r="F69" s="207">
        <v>50</v>
      </c>
      <c r="G69" s="205" t="s">
        <v>186</v>
      </c>
      <c r="H69" s="80" t="s">
        <v>1488</v>
      </c>
      <c r="I69" s="96">
        <v>80000</v>
      </c>
      <c r="J69" s="97">
        <f t="shared" si="93"/>
        <v>15200</v>
      </c>
      <c r="K69" s="97">
        <f t="shared" si="94"/>
        <v>95200</v>
      </c>
      <c r="L69" s="97">
        <f t="shared" si="95"/>
        <v>4000000</v>
      </c>
      <c r="M69" s="97">
        <f t="shared" si="96"/>
        <v>4760000</v>
      </c>
      <c r="N69" s="81" t="s">
        <v>1489</v>
      </c>
      <c r="O69" s="98">
        <v>70000</v>
      </c>
      <c r="P69" s="99">
        <f t="shared" si="97"/>
        <v>13300</v>
      </c>
      <c r="Q69" s="99">
        <f t="shared" si="98"/>
        <v>83300</v>
      </c>
      <c r="R69" s="99">
        <f t="shared" si="99"/>
        <v>3500000</v>
      </c>
      <c r="S69" s="99">
        <f t="shared" si="100"/>
        <v>4165000</v>
      </c>
      <c r="T69" s="76" t="s">
        <v>1490</v>
      </c>
      <c r="U69" s="100">
        <v>59600</v>
      </c>
      <c r="V69" s="101">
        <f t="shared" si="101"/>
        <v>11324</v>
      </c>
      <c r="W69" s="101">
        <f t="shared" si="102"/>
        <v>70924</v>
      </c>
      <c r="X69" s="101">
        <f t="shared" si="103"/>
        <v>2980000</v>
      </c>
      <c r="Y69" s="101">
        <f t="shared" si="104"/>
        <v>3546200</v>
      </c>
      <c r="Z69" s="102">
        <f t="shared" si="108"/>
        <v>83141</v>
      </c>
      <c r="AA69" s="102">
        <f t="shared" si="105"/>
        <v>4157050</v>
      </c>
      <c r="AB69" s="103">
        <f t="shared" si="106"/>
        <v>606939</v>
      </c>
      <c r="AC69" s="77">
        <f t="shared" si="107"/>
        <v>0.14600233338545363</v>
      </c>
      <c r="AD69" s="5"/>
      <c r="AF69" s="7" t="e">
        <f>IF(C69="","",VLOOKUP(C69,listaBolsa!$D$2:$BB$276,51,0))</f>
        <v>#N/A</v>
      </c>
      <c r="BG69" s="7">
        <v>68</v>
      </c>
      <c r="CA69" s="7" t="e">
        <f>VLOOKUP(C69,listaBolsa!$D$2:$BA$1248,1,0)</f>
        <v>#N/A</v>
      </c>
      <c r="CB69" s="7" t="e">
        <f>VLOOKUP(C69,listaBolsa!$D$2:$BA$1248,2,0)</f>
        <v>#N/A</v>
      </c>
      <c r="CC69" s="7" t="e">
        <f>VLOOKUP(C69,listaBolsa!$D$2:$BA$1248,10,0)</f>
        <v>#N/A</v>
      </c>
      <c r="CD69" s="7" t="e">
        <f>VLOOKUP(C69,listaBolsa!$D$2:$BA$1248,14,0)</f>
        <v>#N/A</v>
      </c>
      <c r="CE69" s="7" t="e">
        <f>VLOOKUP(C69,listaBolsa!$D$2:$BA$1248,23,0)</f>
        <v>#N/A</v>
      </c>
      <c r="CF69" s="7" t="e">
        <f>VLOOKUP(C69,listaBolsa!$D$2:$BA$1248,29,0)</f>
        <v>#N/A</v>
      </c>
      <c r="CG69" s="7" t="e">
        <f>VLOOKUP(C69,listaBolsa!$D$2:$BA$1248,36,0)</f>
        <v>#N/A</v>
      </c>
      <c r="CH69" s="7" t="e">
        <f>VLOOKUP(C69,listaBolsa!$D$2:$BA$1248,40,0)</f>
        <v>#N/A</v>
      </c>
      <c r="CI69" s="7" t="e">
        <f>VLOOKUP(C69,listaBolsa!$D$2:$BA$1248,48,0)</f>
        <v>#N/A</v>
      </c>
      <c r="CJ69" s="7" t="e">
        <f t="shared" si="83"/>
        <v>#N/A</v>
      </c>
      <c r="CK69" s="7" t="e">
        <f t="shared" si="84"/>
        <v>#N/A</v>
      </c>
      <c r="CL69" s="7" t="e">
        <f t="shared" si="85"/>
        <v>#N/A</v>
      </c>
      <c r="CM69" s="7" t="e">
        <f t="shared" si="86"/>
        <v>#N/A</v>
      </c>
      <c r="CN69" s="7" t="e">
        <f t="shared" si="87"/>
        <v>#N/A</v>
      </c>
      <c r="CO69" s="7" t="e">
        <f t="shared" si="88"/>
        <v>#N/A</v>
      </c>
      <c r="CP69" s="7" t="e">
        <f t="shared" si="89"/>
        <v>#N/A</v>
      </c>
      <c r="CQ69" s="7" t="e">
        <f t="shared" si="90"/>
        <v>#N/A</v>
      </c>
      <c r="CR69" s="7" t="e">
        <f t="shared" si="91"/>
        <v>#N/A</v>
      </c>
    </row>
    <row r="70" spans="1:96" s="7" customFormat="1" ht="409.6">
      <c r="A70" s="75">
        <f t="shared" si="92"/>
        <v>69</v>
      </c>
      <c r="B70" s="210" t="s">
        <v>1491</v>
      </c>
      <c r="C70" s="201" t="s">
        <v>1492</v>
      </c>
      <c r="D70" s="391" t="s">
        <v>1493</v>
      </c>
      <c r="E70" s="211" t="s">
        <v>185</v>
      </c>
      <c r="F70" s="207">
        <v>1</v>
      </c>
      <c r="G70" s="205" t="s">
        <v>186</v>
      </c>
      <c r="H70" s="395"/>
      <c r="I70" s="396"/>
      <c r="J70" s="396"/>
      <c r="K70" s="396"/>
      <c r="L70" s="396"/>
      <c r="M70" s="396"/>
      <c r="N70" s="398"/>
      <c r="O70" s="398"/>
      <c r="P70" s="398"/>
      <c r="Q70" s="398"/>
      <c r="R70" s="398"/>
      <c r="S70" s="398"/>
      <c r="T70" s="402"/>
      <c r="U70" s="402"/>
      <c r="V70" s="402"/>
      <c r="W70" s="402"/>
      <c r="X70" s="402"/>
      <c r="Y70" s="402"/>
      <c r="Z70" s="406"/>
      <c r="AA70" s="102">
        <v>37500000</v>
      </c>
      <c r="AB70" s="406"/>
      <c r="AC70" s="407"/>
      <c r="AD70" s="5"/>
      <c r="AF70" s="7" t="e">
        <f>IF(C70="","",VLOOKUP(C70,listaBolsa!$D$2:$BB$276,51,0))</f>
        <v>#N/A</v>
      </c>
      <c r="BG70" s="7">
        <v>69</v>
      </c>
      <c r="CA70" s="7" t="e">
        <f>VLOOKUP(C70,listaBolsa!$D$2:$BA$1248,1,0)</f>
        <v>#N/A</v>
      </c>
      <c r="CB70" s="7" t="e">
        <f>VLOOKUP(C70,listaBolsa!$D$2:$BA$1248,2,0)</f>
        <v>#N/A</v>
      </c>
      <c r="CC70" s="7" t="e">
        <f>VLOOKUP(C70,listaBolsa!$D$2:$BA$1248,10,0)</f>
        <v>#N/A</v>
      </c>
      <c r="CD70" s="7" t="e">
        <f>VLOOKUP(C70,listaBolsa!$D$2:$BA$1248,14,0)</f>
        <v>#N/A</v>
      </c>
      <c r="CE70" s="7" t="e">
        <f>VLOOKUP(C70,listaBolsa!$D$2:$BA$1248,23,0)</f>
        <v>#N/A</v>
      </c>
      <c r="CF70" s="7" t="e">
        <f>VLOOKUP(C70,listaBolsa!$D$2:$BA$1248,29,0)</f>
        <v>#N/A</v>
      </c>
      <c r="CG70" s="7" t="e">
        <f>VLOOKUP(C70,listaBolsa!$D$2:$BA$1248,36,0)</f>
        <v>#N/A</v>
      </c>
      <c r="CH70" s="7" t="e">
        <f>VLOOKUP(C70,listaBolsa!$D$2:$BA$1248,40,0)</f>
        <v>#N/A</v>
      </c>
      <c r="CI70" s="7" t="e">
        <f>VLOOKUP(C70,listaBolsa!$D$2:$BA$1248,48,0)</f>
        <v>#N/A</v>
      </c>
      <c r="CJ70" s="7" t="e">
        <f t="shared" si="83"/>
        <v>#N/A</v>
      </c>
      <c r="CK70" s="7" t="e">
        <f t="shared" si="84"/>
        <v>#N/A</v>
      </c>
      <c r="CL70" s="7" t="e">
        <f t="shared" si="85"/>
        <v>#N/A</v>
      </c>
      <c r="CM70" s="7" t="e">
        <f t="shared" si="86"/>
        <v>#N/A</v>
      </c>
      <c r="CN70" s="7" t="e">
        <f t="shared" si="87"/>
        <v>#N/A</v>
      </c>
      <c r="CO70" s="7" t="e">
        <f t="shared" si="88"/>
        <v>#N/A</v>
      </c>
      <c r="CP70" s="7" t="e">
        <f t="shared" si="89"/>
        <v>#N/A</v>
      </c>
      <c r="CQ70" s="7" t="e">
        <f t="shared" si="90"/>
        <v>#N/A</v>
      </c>
      <c r="CR70" s="7" t="e">
        <f t="shared" si="91"/>
        <v>#N/A</v>
      </c>
    </row>
    <row r="71" spans="1:96" s="7" customFormat="1" ht="144">
      <c r="A71" s="295">
        <v>130</v>
      </c>
      <c r="B71" s="318" t="s">
        <v>1494</v>
      </c>
      <c r="C71" s="201" t="s">
        <v>232</v>
      </c>
      <c r="D71" s="201" t="s">
        <v>1398</v>
      </c>
      <c r="E71" s="202" t="s">
        <v>185</v>
      </c>
      <c r="F71" s="203">
        <v>50</v>
      </c>
      <c r="G71" s="201" t="s">
        <v>186</v>
      </c>
      <c r="H71" s="80" t="str">
        <f>IF(C71="","",VLOOKUP(C71,listaBolsa!$D$2:$W$1118,10,0))</f>
        <v>INVENTIVA</v>
      </c>
      <c r="I71" s="96">
        <f>IF(C71="","",VLOOKUP(C71,listaBolsa!$D$2:$W$1118,14,0))</f>
        <v>26000</v>
      </c>
      <c r="J71" s="97">
        <f t="shared" ref="J71:J82" si="109">I71*19%</f>
        <v>4940</v>
      </c>
      <c r="K71" s="97">
        <f t="shared" ref="K71:K82" si="110">I71+J71</f>
        <v>30940</v>
      </c>
      <c r="L71" s="97">
        <f t="shared" ref="L71:L82" si="111">IF(B71="","",(I71*F71))</f>
        <v>1300000</v>
      </c>
      <c r="M71" s="97">
        <f t="shared" ref="M71:M82" si="112">IF(B71="","",(K71*F71))</f>
        <v>1547000</v>
      </c>
      <c r="N71" s="81" t="str">
        <f>IF(C71="","",VLOOKUP(C71,listaBolsa!$D$2:$AZ$1276,23,0))</f>
        <v>Angie Pachon (personalizado INK)</v>
      </c>
      <c r="O71" s="98">
        <f>IF(C71="","",VLOOKUP(C71,listaBolsa!$D$2:$AZ$1276,27,0))</f>
        <v>35000</v>
      </c>
      <c r="P71" s="99"/>
      <c r="Q71" s="99">
        <f t="shared" ref="Q71:Q82" si="113">O71+P71</f>
        <v>35000</v>
      </c>
      <c r="R71" s="99">
        <f t="shared" ref="R71:R82" si="114">IF(B71="","",(O71*F71))</f>
        <v>1750000</v>
      </c>
      <c r="S71" s="99">
        <f t="shared" ref="S71:S82" si="115">IF(B71="","",(Q71*F71))</f>
        <v>1750000</v>
      </c>
      <c r="T71" s="76" t="str">
        <f>IF(C71="","",VLOOKUP(C71,listaBolsa!$D$2:$BB$1276,36,0))</f>
        <v>MARIA CONFLICTO</v>
      </c>
      <c r="U71" s="100">
        <f>IF(C71="","",VLOOKUP(C71,listaBolsa!$D$2:$BB$1276,40,0))</f>
        <v>29000</v>
      </c>
      <c r="V71" s="101"/>
      <c r="W71" s="101"/>
      <c r="X71" s="101">
        <f t="shared" ref="X71:X82" si="116">IF(B71="","",(U71*F71))</f>
        <v>1450000</v>
      </c>
      <c r="Y71" s="101"/>
      <c r="Z71" s="102">
        <f>IF(A71="","",ROUND(AVERAGE(K71,Q71,W71),0))</f>
        <v>32970</v>
      </c>
      <c r="AA71" s="102">
        <f t="shared" ref="AA71:AA82" si="117">IF(B71="","",Z71*F71)</f>
        <v>1648500</v>
      </c>
      <c r="AB71" s="103">
        <f t="shared" ref="AB71:AB82" si="118">IF(B71="","",ROUND(STDEV(M71,S71,Y71),0))</f>
        <v>143543</v>
      </c>
      <c r="AC71" s="77">
        <f t="shared" ref="AC71:AC82" si="119">IF(B71="","",(AB71/AA71))</f>
        <v>8.7074916590840157E-2</v>
      </c>
      <c r="AD71" s="302"/>
    </row>
    <row r="72" spans="1:96" s="7" customFormat="1" ht="69.75">
      <c r="A72" s="295">
        <v>131</v>
      </c>
      <c r="B72" s="204" t="s">
        <v>1495</v>
      </c>
      <c r="C72" s="319" t="s">
        <v>1496</v>
      </c>
      <c r="D72" s="315" t="s">
        <v>1497</v>
      </c>
      <c r="E72" s="211" t="s">
        <v>185</v>
      </c>
      <c r="F72" s="207">
        <v>100</v>
      </c>
      <c r="G72" s="205" t="s">
        <v>186</v>
      </c>
      <c r="H72" s="397" t="s">
        <v>883</v>
      </c>
      <c r="I72" s="96">
        <v>50336.13</v>
      </c>
      <c r="J72" s="97">
        <f t="shared" si="109"/>
        <v>9563.8647000000001</v>
      </c>
      <c r="K72" s="97">
        <f t="shared" si="110"/>
        <v>59899.994699999996</v>
      </c>
      <c r="L72" s="97">
        <f t="shared" si="111"/>
        <v>5033613</v>
      </c>
      <c r="M72" s="97">
        <f t="shared" si="112"/>
        <v>5989999.4699999997</v>
      </c>
      <c r="N72" s="399" t="s">
        <v>883</v>
      </c>
      <c r="O72" s="98">
        <v>57478.99</v>
      </c>
      <c r="P72" s="99">
        <f t="shared" ref="P72:P82" si="120">O72*19%</f>
        <v>10921.008099999999</v>
      </c>
      <c r="Q72" s="99">
        <f t="shared" si="113"/>
        <v>68399.998099999997</v>
      </c>
      <c r="R72" s="99">
        <f t="shared" si="114"/>
        <v>5747899</v>
      </c>
      <c r="S72" s="99">
        <f t="shared" si="115"/>
        <v>6839999.8099999996</v>
      </c>
      <c r="T72" s="403" t="s">
        <v>1050</v>
      </c>
      <c r="U72" s="100">
        <v>58900</v>
      </c>
      <c r="V72" s="101">
        <f t="shared" ref="V72:V82" si="121">U72*19%</f>
        <v>11191</v>
      </c>
      <c r="W72" s="101">
        <f t="shared" ref="W72:W82" si="122">U72+V72</f>
        <v>70091</v>
      </c>
      <c r="X72" s="101">
        <f t="shared" si="116"/>
        <v>5890000</v>
      </c>
      <c r="Y72" s="101">
        <f t="shared" ref="Y72:Y82" si="123">IF(B72="","",(W72*F72))</f>
        <v>7009100</v>
      </c>
      <c r="Z72" s="102">
        <f t="shared" ref="Z72:Z82" si="124">IF(A72="","",ROUND(AVERAGE(K72,Q72,W72),0))</f>
        <v>66130</v>
      </c>
      <c r="AA72" s="102">
        <f t="shared" si="117"/>
        <v>6613000</v>
      </c>
      <c r="AB72" s="103">
        <f t="shared" si="118"/>
        <v>546147</v>
      </c>
      <c r="AC72" s="77">
        <f t="shared" si="119"/>
        <v>8.2586874338424321E-2</v>
      </c>
      <c r="AD72" s="302"/>
    </row>
    <row r="73" spans="1:96" s="7" customFormat="1" ht="70.5">
      <c r="A73" s="295">
        <v>132</v>
      </c>
      <c r="B73" s="204" t="s">
        <v>1495</v>
      </c>
      <c r="C73" s="319" t="s">
        <v>1498</v>
      </c>
      <c r="D73" s="315" t="s">
        <v>1499</v>
      </c>
      <c r="E73" s="211" t="s">
        <v>185</v>
      </c>
      <c r="F73" s="207">
        <v>100</v>
      </c>
      <c r="G73" s="205" t="s">
        <v>186</v>
      </c>
      <c r="H73" s="397" t="s">
        <v>1050</v>
      </c>
      <c r="I73" s="96">
        <v>117563.03</v>
      </c>
      <c r="J73" s="97">
        <f t="shared" si="109"/>
        <v>22336.975699999999</v>
      </c>
      <c r="K73" s="97">
        <f t="shared" si="110"/>
        <v>139900.00570000001</v>
      </c>
      <c r="L73" s="97">
        <f t="shared" si="111"/>
        <v>11756303</v>
      </c>
      <c r="M73" s="97">
        <f t="shared" si="112"/>
        <v>13990000.57</v>
      </c>
      <c r="N73" s="399" t="s">
        <v>1234</v>
      </c>
      <c r="O73" s="98">
        <v>100756.3</v>
      </c>
      <c r="P73" s="99">
        <f t="shared" si="120"/>
        <v>19143.697</v>
      </c>
      <c r="Q73" s="99">
        <f t="shared" si="113"/>
        <v>119899.997</v>
      </c>
      <c r="R73" s="99">
        <f t="shared" si="114"/>
        <v>10075630</v>
      </c>
      <c r="S73" s="99">
        <f t="shared" si="115"/>
        <v>11989999.700000001</v>
      </c>
      <c r="T73" s="403" t="s">
        <v>1500</v>
      </c>
      <c r="U73" s="100">
        <v>117563.03</v>
      </c>
      <c r="V73" s="101">
        <f t="shared" si="121"/>
        <v>22336.975699999999</v>
      </c>
      <c r="W73" s="101">
        <f t="shared" si="122"/>
        <v>139900.00570000001</v>
      </c>
      <c r="X73" s="101">
        <f t="shared" si="116"/>
        <v>11756303</v>
      </c>
      <c r="Y73" s="101">
        <f t="shared" si="123"/>
        <v>13990000.57</v>
      </c>
      <c r="Z73" s="102">
        <f t="shared" si="124"/>
        <v>133233</v>
      </c>
      <c r="AA73" s="102">
        <f t="shared" si="117"/>
        <v>13323300</v>
      </c>
      <c r="AB73" s="103">
        <f t="shared" si="118"/>
        <v>1154701</v>
      </c>
      <c r="AC73" s="77">
        <f t="shared" si="119"/>
        <v>8.6667792513866679E-2</v>
      </c>
      <c r="AD73" s="302"/>
    </row>
    <row r="74" spans="1:96" s="7" customFormat="1" ht="70.5">
      <c r="A74" s="295">
        <v>133</v>
      </c>
      <c r="B74" s="204" t="s">
        <v>1495</v>
      </c>
      <c r="C74" s="319" t="s">
        <v>1501</v>
      </c>
      <c r="D74" s="315" t="s">
        <v>1502</v>
      </c>
      <c r="E74" s="211" t="s">
        <v>185</v>
      </c>
      <c r="F74" s="207">
        <v>100</v>
      </c>
      <c r="G74" s="205" t="s">
        <v>186</v>
      </c>
      <c r="H74" s="397" t="s">
        <v>1503</v>
      </c>
      <c r="I74" s="96">
        <v>16722.689999999999</v>
      </c>
      <c r="J74" s="97">
        <f t="shared" si="109"/>
        <v>3177.3110999999999</v>
      </c>
      <c r="K74" s="97">
        <f t="shared" si="110"/>
        <v>19900.001099999998</v>
      </c>
      <c r="L74" s="97">
        <f t="shared" si="111"/>
        <v>1672268.9999999998</v>
      </c>
      <c r="M74" s="97">
        <f t="shared" si="112"/>
        <v>1990000.1099999999</v>
      </c>
      <c r="N74" s="399" t="s">
        <v>1504</v>
      </c>
      <c r="O74" s="98">
        <v>18800</v>
      </c>
      <c r="P74" s="99">
        <f t="shared" si="120"/>
        <v>3572</v>
      </c>
      <c r="Q74" s="99">
        <f t="shared" si="113"/>
        <v>22372</v>
      </c>
      <c r="R74" s="99">
        <f t="shared" si="114"/>
        <v>1880000</v>
      </c>
      <c r="S74" s="99">
        <f t="shared" si="115"/>
        <v>2237200</v>
      </c>
      <c r="T74" s="403" t="s">
        <v>1362</v>
      </c>
      <c r="U74" s="100">
        <v>15659.66</v>
      </c>
      <c r="V74" s="101">
        <f t="shared" si="121"/>
        <v>2975.3353999999999</v>
      </c>
      <c r="W74" s="101">
        <f t="shared" si="122"/>
        <v>18634.9954</v>
      </c>
      <c r="X74" s="101">
        <f t="shared" si="116"/>
        <v>1565966</v>
      </c>
      <c r="Y74" s="101">
        <f t="shared" si="123"/>
        <v>1863499.54</v>
      </c>
      <c r="Z74" s="102">
        <f t="shared" si="124"/>
        <v>20302</v>
      </c>
      <c r="AA74" s="102">
        <f t="shared" si="117"/>
        <v>2030200</v>
      </c>
      <c r="AB74" s="103">
        <f t="shared" si="118"/>
        <v>190071</v>
      </c>
      <c r="AC74" s="77">
        <f t="shared" si="119"/>
        <v>9.3621810659048371E-2</v>
      </c>
      <c r="AD74" s="302"/>
    </row>
    <row r="75" spans="1:96" s="7" customFormat="1" ht="70.5">
      <c r="A75" s="295">
        <v>134</v>
      </c>
      <c r="B75" s="204" t="s">
        <v>1495</v>
      </c>
      <c r="C75" s="319" t="s">
        <v>1505</v>
      </c>
      <c r="D75" s="315" t="s">
        <v>1506</v>
      </c>
      <c r="E75" s="211" t="s">
        <v>185</v>
      </c>
      <c r="F75" s="207">
        <v>100</v>
      </c>
      <c r="G75" s="205" t="s">
        <v>186</v>
      </c>
      <c r="H75" s="397" t="s">
        <v>1507</v>
      </c>
      <c r="I75" s="96">
        <v>10542.02</v>
      </c>
      <c r="J75" s="97">
        <f t="shared" si="109"/>
        <v>2002.9838000000002</v>
      </c>
      <c r="K75" s="97">
        <f t="shared" si="110"/>
        <v>12545.0038</v>
      </c>
      <c r="L75" s="97">
        <f t="shared" si="111"/>
        <v>1054202</v>
      </c>
      <c r="M75" s="97">
        <f t="shared" si="112"/>
        <v>1254500.3800000001</v>
      </c>
      <c r="N75" s="399" t="s">
        <v>1050</v>
      </c>
      <c r="O75" s="98">
        <v>15882.35</v>
      </c>
      <c r="P75" s="99">
        <f t="shared" si="120"/>
        <v>3017.6465000000003</v>
      </c>
      <c r="Q75" s="99">
        <f t="shared" si="113"/>
        <v>18899.996500000001</v>
      </c>
      <c r="R75" s="99">
        <f t="shared" si="114"/>
        <v>1588235</v>
      </c>
      <c r="S75" s="99">
        <f t="shared" si="115"/>
        <v>1889999.6500000001</v>
      </c>
      <c r="T75" s="403" t="s">
        <v>883</v>
      </c>
      <c r="U75" s="100">
        <v>15882.35</v>
      </c>
      <c r="V75" s="101">
        <f t="shared" si="121"/>
        <v>3017.6465000000003</v>
      </c>
      <c r="W75" s="101">
        <f t="shared" si="122"/>
        <v>18899.996500000001</v>
      </c>
      <c r="X75" s="101">
        <f t="shared" si="116"/>
        <v>1588235</v>
      </c>
      <c r="Y75" s="101">
        <f t="shared" si="123"/>
        <v>1889999.6500000001</v>
      </c>
      <c r="Z75" s="102">
        <f t="shared" si="124"/>
        <v>16782</v>
      </c>
      <c r="AA75" s="102">
        <f t="shared" si="117"/>
        <v>1678200</v>
      </c>
      <c r="AB75" s="103">
        <f t="shared" si="118"/>
        <v>366906</v>
      </c>
      <c r="AC75" s="77">
        <f t="shared" si="119"/>
        <v>0.21863067572398998</v>
      </c>
      <c r="AD75" s="302"/>
    </row>
    <row r="76" spans="1:96" s="7" customFormat="1" ht="69.75">
      <c r="A76" s="295">
        <v>135</v>
      </c>
      <c r="B76" s="204" t="s">
        <v>1495</v>
      </c>
      <c r="C76" s="319" t="s">
        <v>1508</v>
      </c>
      <c r="D76" s="315" t="s">
        <v>1509</v>
      </c>
      <c r="E76" s="211" t="s">
        <v>185</v>
      </c>
      <c r="F76" s="207">
        <v>100</v>
      </c>
      <c r="G76" s="205" t="s">
        <v>186</v>
      </c>
      <c r="H76" s="397" t="s">
        <v>1510</v>
      </c>
      <c r="I76" s="96">
        <v>44000</v>
      </c>
      <c r="J76" s="97">
        <f t="shared" si="109"/>
        <v>8360</v>
      </c>
      <c r="K76" s="97">
        <f t="shared" si="110"/>
        <v>52360</v>
      </c>
      <c r="L76" s="97">
        <f t="shared" si="111"/>
        <v>4400000</v>
      </c>
      <c r="M76" s="97">
        <f t="shared" si="112"/>
        <v>5236000</v>
      </c>
      <c r="N76" s="399" t="s">
        <v>1511</v>
      </c>
      <c r="O76" s="98">
        <v>50252.1</v>
      </c>
      <c r="P76" s="99">
        <f t="shared" si="120"/>
        <v>9547.8989999999994</v>
      </c>
      <c r="Q76" s="99">
        <f t="shared" si="113"/>
        <v>59799.998999999996</v>
      </c>
      <c r="R76" s="99">
        <f t="shared" si="114"/>
        <v>5025210</v>
      </c>
      <c r="S76" s="99">
        <f t="shared" si="115"/>
        <v>5979999.8999999994</v>
      </c>
      <c r="T76" s="403" t="s">
        <v>1512</v>
      </c>
      <c r="U76" s="100">
        <v>44873.95</v>
      </c>
      <c r="V76" s="101">
        <f t="shared" si="121"/>
        <v>8526.0504999999994</v>
      </c>
      <c r="W76" s="101">
        <f t="shared" si="122"/>
        <v>53400.000499999995</v>
      </c>
      <c r="X76" s="101">
        <f t="shared" si="116"/>
        <v>4487395</v>
      </c>
      <c r="Y76" s="101">
        <f t="shared" si="123"/>
        <v>5340000.05</v>
      </c>
      <c r="Z76" s="102">
        <f t="shared" si="124"/>
        <v>55187</v>
      </c>
      <c r="AA76" s="102">
        <f t="shared" si="117"/>
        <v>5518700</v>
      </c>
      <c r="AB76" s="103">
        <f t="shared" si="118"/>
        <v>402896</v>
      </c>
      <c r="AC76" s="77">
        <f t="shared" si="119"/>
        <v>7.300559914472611E-2</v>
      </c>
      <c r="AD76" s="302"/>
    </row>
    <row r="77" spans="1:96" s="7" customFormat="1" ht="70.5">
      <c r="A77" s="295">
        <v>136</v>
      </c>
      <c r="B77" s="204" t="s">
        <v>1495</v>
      </c>
      <c r="C77" s="319" t="s">
        <v>1513</v>
      </c>
      <c r="D77" s="315" t="s">
        <v>1514</v>
      </c>
      <c r="E77" s="211" t="s">
        <v>185</v>
      </c>
      <c r="F77" s="207">
        <v>100</v>
      </c>
      <c r="G77" s="205" t="s">
        <v>186</v>
      </c>
      <c r="H77" s="397" t="s">
        <v>1515</v>
      </c>
      <c r="I77" s="96">
        <v>151091.6</v>
      </c>
      <c r="J77" s="97">
        <f t="shared" si="109"/>
        <v>28707.404000000002</v>
      </c>
      <c r="K77" s="97">
        <f t="shared" si="110"/>
        <v>179799.00400000002</v>
      </c>
      <c r="L77" s="97">
        <f t="shared" si="111"/>
        <v>15109160</v>
      </c>
      <c r="M77" s="97">
        <f t="shared" si="112"/>
        <v>17979900.400000002</v>
      </c>
      <c r="N77" s="399" t="s">
        <v>1516</v>
      </c>
      <c r="O77" s="98">
        <v>175000</v>
      </c>
      <c r="P77" s="99">
        <f t="shared" si="120"/>
        <v>33250</v>
      </c>
      <c r="Q77" s="99">
        <f t="shared" si="113"/>
        <v>208250</v>
      </c>
      <c r="R77" s="99">
        <f t="shared" si="114"/>
        <v>17500000</v>
      </c>
      <c r="S77" s="99">
        <f t="shared" si="115"/>
        <v>20825000</v>
      </c>
      <c r="T77" s="403" t="s">
        <v>1517</v>
      </c>
      <c r="U77" s="100">
        <v>128282</v>
      </c>
      <c r="V77" s="101">
        <f t="shared" si="121"/>
        <v>24373.58</v>
      </c>
      <c r="W77" s="101">
        <f t="shared" si="122"/>
        <v>152655.58000000002</v>
      </c>
      <c r="X77" s="101">
        <f t="shared" si="116"/>
        <v>12828200</v>
      </c>
      <c r="Y77" s="101">
        <f t="shared" si="123"/>
        <v>15265558.000000002</v>
      </c>
      <c r="Z77" s="102">
        <f t="shared" si="124"/>
        <v>180235</v>
      </c>
      <c r="AA77" s="102">
        <f t="shared" si="117"/>
        <v>18023500</v>
      </c>
      <c r="AB77" s="103">
        <f t="shared" si="118"/>
        <v>2779977</v>
      </c>
      <c r="AC77" s="77">
        <f t="shared" si="119"/>
        <v>0.15424179543373928</v>
      </c>
      <c r="AD77" s="302"/>
    </row>
    <row r="78" spans="1:96" s="7" customFormat="1" ht="70.5">
      <c r="A78" s="295">
        <v>137</v>
      </c>
      <c r="B78" s="204" t="s">
        <v>1495</v>
      </c>
      <c r="C78" s="319" t="s">
        <v>1518</v>
      </c>
      <c r="D78" s="315" t="s">
        <v>1519</v>
      </c>
      <c r="E78" s="211" t="s">
        <v>185</v>
      </c>
      <c r="F78" s="207">
        <v>100</v>
      </c>
      <c r="G78" s="205" t="s">
        <v>186</v>
      </c>
      <c r="H78" s="397" t="s">
        <v>1520</v>
      </c>
      <c r="I78" s="96">
        <v>40924.370000000003</v>
      </c>
      <c r="J78" s="97">
        <f t="shared" si="109"/>
        <v>7775.6303000000007</v>
      </c>
      <c r="K78" s="97">
        <f t="shared" si="110"/>
        <v>48700.0003</v>
      </c>
      <c r="L78" s="97">
        <f t="shared" si="111"/>
        <v>4092437.0000000005</v>
      </c>
      <c r="M78" s="97">
        <f t="shared" si="112"/>
        <v>4870000.03</v>
      </c>
      <c r="N78" s="399" t="s">
        <v>1521</v>
      </c>
      <c r="O78" s="98">
        <v>37815.129999999997</v>
      </c>
      <c r="P78" s="99">
        <f t="shared" si="120"/>
        <v>7184.8746999999994</v>
      </c>
      <c r="Q78" s="99">
        <f t="shared" si="113"/>
        <v>45000.004699999998</v>
      </c>
      <c r="R78" s="99">
        <f t="shared" si="114"/>
        <v>3781512.9999999995</v>
      </c>
      <c r="S78" s="99">
        <f t="shared" si="115"/>
        <v>4500000.47</v>
      </c>
      <c r="T78" s="403" t="s">
        <v>1522</v>
      </c>
      <c r="U78" s="100">
        <v>41932.769999999997</v>
      </c>
      <c r="V78" s="101">
        <f t="shared" si="121"/>
        <v>7967.2262999999994</v>
      </c>
      <c r="W78" s="101">
        <f t="shared" si="122"/>
        <v>49899.996299999999</v>
      </c>
      <c r="X78" s="101">
        <f t="shared" si="116"/>
        <v>4193276.9999999995</v>
      </c>
      <c r="Y78" s="101">
        <f t="shared" si="123"/>
        <v>4989999.63</v>
      </c>
      <c r="Z78" s="102">
        <f t="shared" si="124"/>
        <v>47867</v>
      </c>
      <c r="AA78" s="102">
        <f t="shared" si="117"/>
        <v>4786700</v>
      </c>
      <c r="AB78" s="103">
        <f t="shared" si="118"/>
        <v>255408</v>
      </c>
      <c r="AC78" s="77">
        <f t="shared" si="119"/>
        <v>5.335784569745336E-2</v>
      </c>
      <c r="AD78" s="302"/>
    </row>
    <row r="79" spans="1:96" s="7" customFormat="1" ht="70.5">
      <c r="A79" s="295">
        <v>138</v>
      </c>
      <c r="B79" s="204" t="s">
        <v>1495</v>
      </c>
      <c r="C79" s="319" t="s">
        <v>1523</v>
      </c>
      <c r="D79" s="315" t="s">
        <v>1524</v>
      </c>
      <c r="E79" s="211" t="s">
        <v>185</v>
      </c>
      <c r="F79" s="207">
        <v>100</v>
      </c>
      <c r="G79" s="205" t="s">
        <v>186</v>
      </c>
      <c r="H79" s="397" t="s">
        <v>1503</v>
      </c>
      <c r="I79" s="96">
        <v>29800</v>
      </c>
      <c r="J79" s="97"/>
      <c r="K79" s="97">
        <f t="shared" si="110"/>
        <v>29800</v>
      </c>
      <c r="L79" s="97">
        <f t="shared" si="111"/>
        <v>2980000</v>
      </c>
      <c r="M79" s="97">
        <f t="shared" si="112"/>
        <v>2980000</v>
      </c>
      <c r="N79" s="399" t="s">
        <v>1525</v>
      </c>
      <c r="O79" s="98">
        <v>26050</v>
      </c>
      <c r="P79" s="99">
        <f t="shared" si="120"/>
        <v>4949.5</v>
      </c>
      <c r="Q79" s="99">
        <f t="shared" si="113"/>
        <v>30999.5</v>
      </c>
      <c r="R79" s="99">
        <f t="shared" si="114"/>
        <v>2605000</v>
      </c>
      <c r="S79" s="99">
        <f t="shared" si="115"/>
        <v>3099950</v>
      </c>
      <c r="T79" s="403" t="s">
        <v>1526</v>
      </c>
      <c r="U79" s="100">
        <v>20000</v>
      </c>
      <c r="V79" s="101">
        <f t="shared" si="121"/>
        <v>3800</v>
      </c>
      <c r="W79" s="101">
        <f t="shared" si="122"/>
        <v>23800</v>
      </c>
      <c r="X79" s="101">
        <f t="shared" si="116"/>
        <v>2000000</v>
      </c>
      <c r="Y79" s="101">
        <f t="shared" si="123"/>
        <v>2380000</v>
      </c>
      <c r="Z79" s="102">
        <f t="shared" si="124"/>
        <v>28200</v>
      </c>
      <c r="AA79" s="102">
        <f t="shared" si="117"/>
        <v>2820000</v>
      </c>
      <c r="AB79" s="103">
        <f t="shared" si="118"/>
        <v>385728</v>
      </c>
      <c r="AC79" s="77">
        <f t="shared" si="119"/>
        <v>0.13678297872340425</v>
      </c>
      <c r="AD79" s="302"/>
    </row>
    <row r="80" spans="1:96" s="7" customFormat="1" ht="120">
      <c r="A80" s="295">
        <v>139</v>
      </c>
      <c r="B80" s="204" t="s">
        <v>1495</v>
      </c>
      <c r="C80" s="319" t="s">
        <v>1527</v>
      </c>
      <c r="D80" s="75" t="s">
        <v>1528</v>
      </c>
      <c r="E80" s="211" t="s">
        <v>185</v>
      </c>
      <c r="F80" s="207">
        <v>100</v>
      </c>
      <c r="G80" s="205" t="s">
        <v>186</v>
      </c>
      <c r="H80" s="80" t="s">
        <v>1529</v>
      </c>
      <c r="I80" s="96">
        <v>10292</v>
      </c>
      <c r="J80" s="97">
        <f t="shared" ref="J80" si="125">I80*19%</f>
        <v>1955.48</v>
      </c>
      <c r="K80" s="97">
        <f t="shared" si="110"/>
        <v>12247.48</v>
      </c>
      <c r="L80" s="97">
        <f t="shared" si="111"/>
        <v>1029200</v>
      </c>
      <c r="M80" s="97">
        <f t="shared" si="112"/>
        <v>1224748</v>
      </c>
      <c r="N80" s="81" t="s">
        <v>1530</v>
      </c>
      <c r="O80" s="98">
        <v>13865.55</v>
      </c>
      <c r="P80" s="99">
        <f t="shared" si="120"/>
        <v>2634.4544999999998</v>
      </c>
      <c r="Q80" s="99">
        <f t="shared" si="113"/>
        <v>16500.004499999999</v>
      </c>
      <c r="R80" s="99">
        <f t="shared" si="114"/>
        <v>1386555</v>
      </c>
      <c r="S80" s="99">
        <f t="shared" si="115"/>
        <v>1650000.45</v>
      </c>
      <c r="T80" s="76" t="s">
        <v>1500</v>
      </c>
      <c r="U80" s="100">
        <v>10840.34</v>
      </c>
      <c r="V80" s="101">
        <f t="shared" si="121"/>
        <v>2059.6646000000001</v>
      </c>
      <c r="W80" s="101">
        <f t="shared" si="122"/>
        <v>12900.0046</v>
      </c>
      <c r="X80" s="101">
        <f t="shared" si="116"/>
        <v>1084034</v>
      </c>
      <c r="Y80" s="101">
        <f t="shared" si="123"/>
        <v>1290000.46</v>
      </c>
      <c r="Z80" s="102">
        <f t="shared" si="124"/>
        <v>13882</v>
      </c>
      <c r="AA80" s="102">
        <f t="shared" si="117"/>
        <v>1388200</v>
      </c>
      <c r="AB80" s="103">
        <f t="shared" si="118"/>
        <v>229019</v>
      </c>
      <c r="AC80" s="77">
        <f t="shared" si="119"/>
        <v>0.16497550785189455</v>
      </c>
      <c r="AD80" s="302"/>
    </row>
    <row r="81" spans="1:78" s="7" customFormat="1" ht="70.5">
      <c r="A81" s="295">
        <v>140</v>
      </c>
      <c r="B81" s="204" t="s">
        <v>1495</v>
      </c>
      <c r="C81" s="320" t="s">
        <v>1531</v>
      </c>
      <c r="D81" s="316" t="s">
        <v>1532</v>
      </c>
      <c r="E81" s="205" t="s">
        <v>185</v>
      </c>
      <c r="F81" s="205">
        <v>100</v>
      </c>
      <c r="G81" s="205" t="s">
        <v>186</v>
      </c>
      <c r="H81" s="397" t="s">
        <v>1520</v>
      </c>
      <c r="I81" s="96">
        <v>16302.52</v>
      </c>
      <c r="J81" s="97">
        <f t="shared" si="109"/>
        <v>3097.4788000000003</v>
      </c>
      <c r="K81" s="97">
        <f t="shared" si="110"/>
        <v>19399.998800000001</v>
      </c>
      <c r="L81" s="97">
        <f t="shared" si="111"/>
        <v>1630252</v>
      </c>
      <c r="M81" s="97">
        <f t="shared" si="112"/>
        <v>1939999.8800000001</v>
      </c>
      <c r="N81" s="399" t="s">
        <v>1500</v>
      </c>
      <c r="O81" s="98">
        <v>16764.71</v>
      </c>
      <c r="P81" s="99">
        <f t="shared" si="120"/>
        <v>3185.2948999999999</v>
      </c>
      <c r="Q81" s="99">
        <f t="shared" si="113"/>
        <v>19950.0049</v>
      </c>
      <c r="R81" s="99">
        <f t="shared" si="114"/>
        <v>1676471</v>
      </c>
      <c r="S81" s="99">
        <f t="shared" si="115"/>
        <v>1995000.49</v>
      </c>
      <c r="T81" s="403" t="s">
        <v>1267</v>
      </c>
      <c r="U81" s="100">
        <v>16764.71</v>
      </c>
      <c r="V81" s="101">
        <f t="shared" si="121"/>
        <v>3185.2948999999999</v>
      </c>
      <c r="W81" s="101">
        <f t="shared" si="122"/>
        <v>19950.0049</v>
      </c>
      <c r="X81" s="101">
        <f t="shared" si="116"/>
        <v>1676471</v>
      </c>
      <c r="Y81" s="101">
        <f t="shared" si="123"/>
        <v>1995000.49</v>
      </c>
      <c r="Z81" s="102">
        <f t="shared" si="124"/>
        <v>19767</v>
      </c>
      <c r="AA81" s="102">
        <f t="shared" si="117"/>
        <v>1976700</v>
      </c>
      <c r="AB81" s="103">
        <f t="shared" si="118"/>
        <v>31755</v>
      </c>
      <c r="AC81" s="77">
        <f t="shared" si="119"/>
        <v>1.606465320989528E-2</v>
      </c>
      <c r="AD81" s="302"/>
    </row>
    <row r="82" spans="1:78" s="7" customFormat="1" ht="70.5">
      <c r="A82" s="295">
        <v>141</v>
      </c>
      <c r="B82" s="204" t="s">
        <v>1495</v>
      </c>
      <c r="C82" s="317" t="s">
        <v>1533</v>
      </c>
      <c r="D82" s="317" t="s">
        <v>1534</v>
      </c>
      <c r="E82" s="211" t="s">
        <v>185</v>
      </c>
      <c r="F82" s="207">
        <v>100</v>
      </c>
      <c r="G82" s="205" t="s">
        <v>186</v>
      </c>
      <c r="H82" s="397" t="s">
        <v>1535</v>
      </c>
      <c r="I82" s="96">
        <v>168058.82</v>
      </c>
      <c r="J82" s="97">
        <f t="shared" si="109"/>
        <v>31931.175800000001</v>
      </c>
      <c r="K82" s="97">
        <f t="shared" si="110"/>
        <v>199989.9958</v>
      </c>
      <c r="L82" s="97">
        <f t="shared" si="111"/>
        <v>16805882</v>
      </c>
      <c r="M82" s="97">
        <f t="shared" si="112"/>
        <v>19998999.580000002</v>
      </c>
      <c r="N82" s="399" t="s">
        <v>1050</v>
      </c>
      <c r="O82" s="98">
        <v>159579.82999999999</v>
      </c>
      <c r="P82" s="99">
        <f t="shared" si="120"/>
        <v>30320.167699999998</v>
      </c>
      <c r="Q82" s="99">
        <f t="shared" si="113"/>
        <v>189899.99769999998</v>
      </c>
      <c r="R82" s="99">
        <f t="shared" si="114"/>
        <v>15957982.999999998</v>
      </c>
      <c r="S82" s="99">
        <f t="shared" si="115"/>
        <v>18989999.77</v>
      </c>
      <c r="T82" s="403" t="s">
        <v>883</v>
      </c>
      <c r="U82" s="100">
        <v>167983.19</v>
      </c>
      <c r="V82" s="101">
        <f t="shared" si="121"/>
        <v>31916.806100000002</v>
      </c>
      <c r="W82" s="101">
        <f t="shared" si="122"/>
        <v>199899.99609999999</v>
      </c>
      <c r="X82" s="101">
        <f t="shared" si="116"/>
        <v>16798319</v>
      </c>
      <c r="Y82" s="101">
        <f t="shared" si="123"/>
        <v>19989999.609999999</v>
      </c>
      <c r="Z82" s="102">
        <f t="shared" si="124"/>
        <v>196597</v>
      </c>
      <c r="AA82" s="102">
        <f t="shared" si="117"/>
        <v>19659700</v>
      </c>
      <c r="AB82" s="103">
        <f t="shared" si="118"/>
        <v>579966</v>
      </c>
      <c r="AC82" s="77">
        <f t="shared" si="119"/>
        <v>2.9500246697558966E-2</v>
      </c>
      <c r="AD82" s="302"/>
    </row>
    <row r="83" spans="1:78" s="7" customFormat="1" ht="210">
      <c r="A83" s="295">
        <v>144</v>
      </c>
      <c r="B83" s="204" t="s">
        <v>1495</v>
      </c>
      <c r="C83" s="321" t="s">
        <v>449</v>
      </c>
      <c r="D83" s="321" t="s">
        <v>1536</v>
      </c>
      <c r="E83" s="211" t="s">
        <v>270</v>
      </c>
      <c r="F83" s="207">
        <v>1</v>
      </c>
      <c r="G83" s="205" t="s">
        <v>288</v>
      </c>
      <c r="H83" s="80"/>
      <c r="I83" s="96" t="str">
        <f>IF(C83="","",VLOOKUP(C83,listaBolsa!$D$2:$W$1118,14,0))</f>
        <v> </v>
      </c>
      <c r="J83" s="97"/>
      <c r="K83" s="97"/>
      <c r="L83" s="97"/>
      <c r="M83" s="97"/>
      <c r="N83" s="81" t="str">
        <f>IF(C83="","",VLOOKUP(C83,listaBolsa!$D$2:$AZ$1276,23,0))</f>
        <v>Estimación de precios con base en el proceso FDLSUBA-LP-013-2025 (140689) – Contrato 1000 – 2025, indexando el incremento de precios en el mercado con base en el Índice de Precios al Consumidor (IPC) para el mes de marzo de 2026, el cual fue de 5,56%.</v>
      </c>
      <c r="O83" s="98" t="str">
        <f>IF(C83="","",VLOOKUP(C83,listaBolsa!$D$2:$AZ$1276,27,0))</f>
        <v>OPERADOR LOGÍSTICO</v>
      </c>
      <c r="P83" s="98" t="str">
        <f>$O$52</f>
        <v>OPERADOR LOGÍSTICO</v>
      </c>
      <c r="Q83" s="99">
        <v>3503882</v>
      </c>
      <c r="R83" s="99">
        <v>665738</v>
      </c>
      <c r="S83" s="99">
        <v>4169620</v>
      </c>
      <c r="T83" s="76" t="str">
        <f>IF(C83="","",VLOOKUP(C83,listaBolsa!$D$2:$BB$1276,36,0))</f>
        <v>FUNCAS</v>
      </c>
      <c r="U83" s="100">
        <f>IF(C83="","",VLOOKUP(C83,listaBolsa!$D$2:$BB$1276,40,0))</f>
        <v>3402311</v>
      </c>
      <c r="V83" s="101">
        <f t="shared" ref="V83" si="126">U83*19%</f>
        <v>646439.09</v>
      </c>
      <c r="W83" s="101">
        <f t="shared" ref="W83:W84" si="127">U83+V83</f>
        <v>4048750.09</v>
      </c>
      <c r="X83" s="101">
        <f t="shared" ref="X83:X84" si="128">IF(B83="","",(U83*F83))</f>
        <v>3402311</v>
      </c>
      <c r="Y83" s="101">
        <f t="shared" ref="Y83:Y84" si="129">IF(B83="","",(W83*F83))</f>
        <v>4048750.09</v>
      </c>
      <c r="Z83" s="102">
        <f t="shared" ref="Z83:Z84" si="130">IF(A83="","",ROUND(AVERAGE(K83,Q83,W83),0))</f>
        <v>3776316</v>
      </c>
      <c r="AA83" s="102">
        <f t="shared" ref="AA83:AA84" si="131">IF(B83="","",Z83*F83)</f>
        <v>3776316</v>
      </c>
      <c r="AB83" s="103">
        <f t="shared" ref="AB83:AB84" si="132">IF(B83="","",ROUND(STDEV(M83,S83,Y83),0))</f>
        <v>85468</v>
      </c>
      <c r="AC83" s="77">
        <f t="shared" ref="AC83:AC84" si="133">IF(B83="","",(AB83/AA83))</f>
        <v>2.2632639853232623E-2</v>
      </c>
      <c r="AD83" s="302"/>
    </row>
    <row r="84" spans="1:78" s="7" customFormat="1" ht="70.5">
      <c r="A84" s="295">
        <v>145</v>
      </c>
      <c r="B84" s="210" t="s">
        <v>1495</v>
      </c>
      <c r="C84" s="317" t="s">
        <v>589</v>
      </c>
      <c r="D84" s="317" t="s">
        <v>1537</v>
      </c>
      <c r="E84" s="211" t="s">
        <v>185</v>
      </c>
      <c r="F84" s="207">
        <v>100</v>
      </c>
      <c r="G84" s="205" t="s">
        <v>186</v>
      </c>
      <c r="H84" s="80" t="str">
        <f>IF(C84="","",VLOOKUP(C84,listaBolsa!$D$2:$W$1118,10,0))</f>
        <v>GUERRA EDITORES</v>
      </c>
      <c r="I84" s="96">
        <f>IF(C84="","",VLOOKUP(C84,listaBolsa!$D$2:$W$1118,14,0))</f>
        <v>2200</v>
      </c>
      <c r="J84" s="97">
        <f t="shared" ref="J84" si="134">I84*19%</f>
        <v>418</v>
      </c>
      <c r="K84" s="97">
        <f t="shared" ref="K84" si="135">I84+J84</f>
        <v>2618</v>
      </c>
      <c r="L84" s="97">
        <f t="shared" ref="L84" si="136">IF(B84="","",(I84*F84))</f>
        <v>220000</v>
      </c>
      <c r="M84" s="97">
        <f t="shared" ref="M84" si="137">IF(B84="","",(K84*F84))</f>
        <v>261800</v>
      </c>
      <c r="N84" s="81" t="str">
        <f>IF(C84="","",VLOOKUP(C84,listaBolsa!$D$2:$AZ$1276,23,0))</f>
        <v>SG DIGITAL S.A.S</v>
      </c>
      <c r="O84" s="98">
        <f>IF(C84="","",VLOOKUP(C84,listaBolsa!$D$2:$AZ$1276,27,0))</f>
        <v>2689.0756302521008</v>
      </c>
      <c r="P84" s="99">
        <f t="shared" ref="P84" si="138">O84*19%</f>
        <v>510.92436974789916</v>
      </c>
      <c r="Q84" s="99">
        <f t="shared" ref="Q84" si="139">O84+P84</f>
        <v>3200</v>
      </c>
      <c r="R84" s="99">
        <f t="shared" ref="R84" si="140">IF(B84="","",(O84*F84))</f>
        <v>268907.56302521011</v>
      </c>
      <c r="S84" s="99">
        <f t="shared" ref="S84" si="141">IF(B84="","",(Q84*F84))</f>
        <v>320000</v>
      </c>
      <c r="T84" s="76" t="str">
        <f>IF(C84="","",VLOOKUP(C84,listaBolsa!$D$2:$BB$1276,36,0))</f>
        <v>JEGAR PUBLICIDAD MISIONES</v>
      </c>
      <c r="U84" s="100">
        <f>IF(C84="","",VLOOKUP(C84,listaBolsa!$D$2:$BB$1276,40,0))</f>
        <v>3800</v>
      </c>
      <c r="V84" s="101"/>
      <c r="W84" s="101">
        <f t="shared" si="127"/>
        <v>3800</v>
      </c>
      <c r="X84" s="101">
        <f t="shared" si="128"/>
        <v>380000</v>
      </c>
      <c r="Y84" s="101">
        <f t="shared" si="129"/>
        <v>380000</v>
      </c>
      <c r="Z84" s="102">
        <f t="shared" si="130"/>
        <v>3206</v>
      </c>
      <c r="AA84" s="102">
        <f t="shared" si="131"/>
        <v>320600</v>
      </c>
      <c r="AB84" s="103">
        <f t="shared" si="132"/>
        <v>59102</v>
      </c>
      <c r="AC84" s="77">
        <f t="shared" si="133"/>
        <v>0.18434809731752963</v>
      </c>
      <c r="AD84" s="302"/>
    </row>
    <row r="85" spans="1:78" s="7" customFormat="1" ht="70.5">
      <c r="A85" s="295">
        <v>146</v>
      </c>
      <c r="B85" s="204" t="s">
        <v>1495</v>
      </c>
      <c r="C85" s="317" t="s">
        <v>1538</v>
      </c>
      <c r="D85" s="317" t="s">
        <v>1539</v>
      </c>
      <c r="E85" s="211" t="s">
        <v>270</v>
      </c>
      <c r="F85" s="207">
        <v>2</v>
      </c>
      <c r="G85" s="205" t="s">
        <v>1116</v>
      </c>
      <c r="H85" s="80" t="str">
        <f>IF(C85="","",VLOOKUP(C85,listaBolsa!$D$2:$W$1118,10,0))</f>
        <v>LOGISTBOX L&amp;L SAS</v>
      </c>
      <c r="I85" s="96">
        <f>IF(C85="","",VLOOKUP(C85,listaBolsa!$D$2:$W$1118,14,0))</f>
        <v>766800</v>
      </c>
      <c r="J85" s="97"/>
      <c r="K85" s="97">
        <f t="shared" ref="K85:K86" si="142">I85+J85</f>
        <v>766800</v>
      </c>
      <c r="L85" s="97">
        <f t="shared" ref="L85:L86" si="143">IF(B85="","",(I85*F85))</f>
        <v>1533600</v>
      </c>
      <c r="M85" s="97">
        <f t="shared" ref="M85:M86" si="144">IF(B85="","",(K85*F85))</f>
        <v>1533600</v>
      </c>
      <c r="N85" s="81" t="str">
        <f>IF(C85="","",VLOOKUP(C85,listaBolsa!$D$2:$AZ$1276,23,0))</f>
        <v>D&amp;R PRODUCCIONES SAS</v>
      </c>
      <c r="O85" s="98">
        <f>IF(C85="","",VLOOKUP(C85,listaBolsa!$D$2:$AZ$1276,27,0))</f>
        <v>1282500</v>
      </c>
      <c r="P85" s="99"/>
      <c r="Q85" s="99">
        <f t="shared" ref="Q85:Q86" si="145">O85+P85</f>
        <v>1282500</v>
      </c>
      <c r="R85" s="99">
        <f t="shared" ref="R85:R86" si="146">IF(B85="","",(O85*F85))</f>
        <v>2565000</v>
      </c>
      <c r="S85" s="99">
        <f t="shared" ref="S85:S86" si="147">IF(B85="","",(Q85*F85))</f>
        <v>2565000</v>
      </c>
      <c r="T85" s="76" t="str">
        <f>IF(C85="","",VLOOKUP(C85,listaBolsa!$D$2:$BB$1276,36,0))</f>
        <v>IMAGROUP COLOMBIA S.A.S</v>
      </c>
      <c r="U85" s="100">
        <f>IF(C85="","",VLOOKUP(C85,listaBolsa!$D$2:$BB$1276,40,0))</f>
        <v>1200000</v>
      </c>
      <c r="V85" s="101">
        <f t="shared" ref="V85" si="148">U85*19%</f>
        <v>228000</v>
      </c>
      <c r="W85" s="101">
        <f t="shared" ref="W85:W86" si="149">U85+V85</f>
        <v>1428000</v>
      </c>
      <c r="X85" s="101">
        <f t="shared" ref="X85:X86" si="150">IF(B85="","",(U85*F85))</f>
        <v>2400000</v>
      </c>
      <c r="Y85" s="101">
        <f t="shared" ref="Y85:Y86" si="151">IF(B85="","",(W85*F85))</f>
        <v>2856000</v>
      </c>
      <c r="Z85" s="102">
        <f t="shared" ref="Z85:Z86" si="152">IF(A85="","",ROUND(AVERAGE(K85,Q85,W85),0))</f>
        <v>1159100</v>
      </c>
      <c r="AA85" s="102">
        <f t="shared" ref="AA85:AA86" si="153">IF(B85="","",Z85*F85)</f>
        <v>2318200</v>
      </c>
      <c r="AB85" s="103">
        <f t="shared" ref="AB85:AB86" si="154">IF(B85="","",ROUND(STDEV(M85,S85,Y85),0))</f>
        <v>694887</v>
      </c>
      <c r="AC85" s="77">
        <f t="shared" ref="AC85:AC87" si="155">IF(B85="","",(AB85/AA85))</f>
        <v>0.29975282546803556</v>
      </c>
      <c r="AD85" s="302"/>
    </row>
    <row r="86" spans="1:78" s="7" customFormat="1" ht="69.75">
      <c r="A86" s="295">
        <v>148</v>
      </c>
      <c r="B86" s="204" t="s">
        <v>1495</v>
      </c>
      <c r="C86" s="205" t="s">
        <v>1540</v>
      </c>
      <c r="D86" s="205" t="s">
        <v>1541</v>
      </c>
      <c r="E86" s="211" t="s">
        <v>270</v>
      </c>
      <c r="F86" s="207">
        <v>100</v>
      </c>
      <c r="G86" s="205" t="s">
        <v>1116</v>
      </c>
      <c r="H86" s="397" t="s">
        <v>1542</v>
      </c>
      <c r="I86" s="96">
        <v>2750000</v>
      </c>
      <c r="J86" s="97"/>
      <c r="K86" s="97">
        <f t="shared" si="142"/>
        <v>2750000</v>
      </c>
      <c r="L86" s="97">
        <f t="shared" si="143"/>
        <v>275000000</v>
      </c>
      <c r="M86" s="97">
        <f t="shared" si="144"/>
        <v>275000000</v>
      </c>
      <c r="N86" s="399" t="s">
        <v>1543</v>
      </c>
      <c r="O86" s="98">
        <v>2300000</v>
      </c>
      <c r="P86" s="99"/>
      <c r="Q86" s="99">
        <f t="shared" si="145"/>
        <v>2300000</v>
      </c>
      <c r="R86" s="99">
        <f t="shared" si="146"/>
        <v>230000000</v>
      </c>
      <c r="S86" s="99">
        <f t="shared" si="147"/>
        <v>230000000</v>
      </c>
      <c r="T86" s="403" t="s">
        <v>1544</v>
      </c>
      <c r="U86" s="100">
        <v>2185000</v>
      </c>
      <c r="V86" s="101"/>
      <c r="W86" s="101">
        <f t="shared" si="149"/>
        <v>2185000</v>
      </c>
      <c r="X86" s="101">
        <f t="shared" si="150"/>
        <v>218500000</v>
      </c>
      <c r="Y86" s="101">
        <f t="shared" si="151"/>
        <v>218500000</v>
      </c>
      <c r="Z86" s="102">
        <f t="shared" si="152"/>
        <v>2411667</v>
      </c>
      <c r="AA86" s="102">
        <f t="shared" si="153"/>
        <v>241166700</v>
      </c>
      <c r="AB86" s="103">
        <f t="shared" si="154"/>
        <v>29859393</v>
      </c>
      <c r="AC86" s="77">
        <f t="shared" si="155"/>
        <v>0.1238122551745328</v>
      </c>
      <c r="AD86" s="302"/>
    </row>
    <row r="87" spans="1:78" s="7" customFormat="1" ht="288" customHeight="1">
      <c r="A87" s="295">
        <v>149</v>
      </c>
      <c r="B87" s="210" t="s">
        <v>1545</v>
      </c>
      <c r="C87" s="205" t="s">
        <v>1546</v>
      </c>
      <c r="D87" s="205" t="s">
        <v>1547</v>
      </c>
      <c r="E87" s="211" t="s">
        <v>185</v>
      </c>
      <c r="F87" s="207">
        <v>50</v>
      </c>
      <c r="G87" s="205" t="s">
        <v>186</v>
      </c>
      <c r="H87" s="393"/>
      <c r="I87" s="96"/>
      <c r="J87" s="97"/>
      <c r="K87" s="97"/>
      <c r="L87" s="97"/>
      <c r="M87" s="97"/>
      <c r="N87" s="400"/>
      <c r="O87" s="98"/>
      <c r="P87" s="99"/>
      <c r="Q87" s="99"/>
      <c r="R87" s="99"/>
      <c r="S87" s="99"/>
      <c r="T87" s="404"/>
      <c r="U87" s="100"/>
      <c r="V87" s="101"/>
      <c r="W87" s="101"/>
      <c r="X87" s="101"/>
      <c r="Y87" s="101"/>
      <c r="Z87" s="102"/>
      <c r="AA87" s="102">
        <v>150000000</v>
      </c>
      <c r="AB87" s="103"/>
      <c r="AC87" s="77">
        <f t="shared" si="155"/>
        <v>0</v>
      </c>
      <c r="AD87" s="302"/>
    </row>
    <row r="88" spans="1:78" s="7" customFormat="1" ht="204.75">
      <c r="A88" s="392">
        <v>150</v>
      </c>
      <c r="B88" s="304" t="s">
        <v>1548</v>
      </c>
      <c r="C88" s="205" t="s">
        <v>1549</v>
      </c>
      <c r="D88" s="309" t="s">
        <v>1550</v>
      </c>
      <c r="E88" s="307" t="s">
        <v>185</v>
      </c>
      <c r="F88" s="308">
        <v>1</v>
      </c>
      <c r="G88" s="309" t="s">
        <v>186</v>
      </c>
      <c r="H88" s="394"/>
      <c r="I88" s="273"/>
      <c r="J88" s="274"/>
      <c r="K88" s="274"/>
      <c r="L88" s="274"/>
      <c r="M88" s="274"/>
      <c r="N88" s="401"/>
      <c r="O88" s="264"/>
      <c r="P88" s="265"/>
      <c r="Q88" s="265"/>
      <c r="R88" s="265"/>
      <c r="S88" s="265"/>
      <c r="T88" s="405"/>
      <c r="U88" s="257"/>
      <c r="V88" s="258"/>
      <c r="W88" s="258"/>
      <c r="X88" s="258"/>
      <c r="Y88" s="258"/>
      <c r="Z88" s="102"/>
      <c r="AA88" s="102">
        <v>36968650</v>
      </c>
      <c r="AB88" s="103"/>
      <c r="AC88" s="77"/>
      <c r="AD88" s="302"/>
    </row>
    <row r="89" spans="1:78" s="7" customFormat="1" ht="39.75" customHeight="1">
      <c r="A89" s="425" t="s">
        <v>1551</v>
      </c>
      <c r="B89" s="425"/>
      <c r="C89" s="425"/>
      <c r="D89" s="425"/>
      <c r="E89" s="425"/>
      <c r="F89" s="425"/>
      <c r="G89" s="425"/>
      <c r="H89" s="425"/>
      <c r="I89" s="425"/>
      <c r="J89" s="425"/>
      <c r="K89" s="425"/>
      <c r="L89" s="425"/>
      <c r="M89" s="425"/>
      <c r="N89" s="425"/>
      <c r="O89" s="425"/>
      <c r="P89" s="425"/>
      <c r="Q89" s="425"/>
      <c r="R89" s="425"/>
      <c r="S89" s="425"/>
      <c r="T89" s="425"/>
      <c r="U89" s="425"/>
      <c r="V89" s="425"/>
      <c r="W89" s="425"/>
      <c r="X89" s="425"/>
      <c r="Y89" s="425"/>
      <c r="Z89" s="343"/>
      <c r="AA89" s="343">
        <f>SUM(AA10:AA88)</f>
        <v>1945647793</v>
      </c>
      <c r="AB89" s="344"/>
      <c r="AC89" s="345"/>
    </row>
    <row r="90" spans="1:78" s="328" customFormat="1" ht="24">
      <c r="A90" s="418" t="s">
        <v>15</v>
      </c>
      <c r="B90" s="418"/>
      <c r="C90" s="418"/>
      <c r="D90" s="418"/>
      <c r="E90" s="418"/>
      <c r="F90" s="418"/>
      <c r="G90" s="418"/>
      <c r="H90" s="326"/>
      <c r="I90" s="326"/>
      <c r="J90" s="326"/>
      <c r="K90" s="326"/>
      <c r="L90" s="327"/>
      <c r="M90" s="327"/>
      <c r="N90" s="326"/>
      <c r="O90" s="326"/>
      <c r="P90" s="326"/>
      <c r="Q90" s="326"/>
      <c r="R90" s="326"/>
      <c r="S90" s="326"/>
      <c r="T90" s="326"/>
      <c r="U90" s="326"/>
      <c r="V90" s="326"/>
      <c r="W90" s="326"/>
      <c r="X90" s="326"/>
      <c r="Y90" s="326"/>
      <c r="Z90" s="326"/>
      <c r="AA90" s="326"/>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6"/>
      <c r="BD90" s="326"/>
      <c r="BE90" s="326"/>
      <c r="BF90" s="326"/>
      <c r="BG90" s="326"/>
      <c r="BH90" s="326"/>
      <c r="BI90" s="326"/>
      <c r="BJ90" s="326"/>
      <c r="BK90" s="326"/>
      <c r="BL90" s="326"/>
      <c r="BM90" s="326"/>
      <c r="BN90" s="326"/>
      <c r="BO90" s="326"/>
      <c r="BP90" s="326"/>
      <c r="BQ90" s="326"/>
      <c r="BR90" s="326"/>
      <c r="BS90" s="326"/>
      <c r="BT90" s="326"/>
      <c r="BU90" s="326"/>
      <c r="BV90" s="326"/>
      <c r="BW90" s="326"/>
      <c r="BX90" s="326"/>
      <c r="BY90" s="326"/>
      <c r="BZ90" s="326"/>
    </row>
    <row r="91" spans="1:78" s="328" customFormat="1" ht="24">
      <c r="A91" s="325" t="s">
        <v>256</v>
      </c>
      <c r="B91" s="325" t="s">
        <v>256</v>
      </c>
      <c r="C91" s="325" t="s">
        <v>256</v>
      </c>
      <c r="D91" s="325" t="s">
        <v>256</v>
      </c>
      <c r="E91" s="325" t="s">
        <v>256</v>
      </c>
      <c r="F91" s="325" t="s">
        <v>256</v>
      </c>
      <c r="G91" s="325" t="s">
        <v>256</v>
      </c>
      <c r="H91" s="326"/>
      <c r="I91" s="326"/>
      <c r="J91" s="326"/>
      <c r="K91" s="326"/>
      <c r="L91" s="327"/>
      <c r="M91" s="327"/>
      <c r="N91" s="326"/>
      <c r="O91" s="326"/>
      <c r="P91" s="326"/>
      <c r="Q91" s="326"/>
      <c r="R91" s="326"/>
      <c r="S91" s="326"/>
      <c r="T91" s="326"/>
      <c r="U91" s="326"/>
      <c r="V91" s="326"/>
      <c r="W91" s="326"/>
      <c r="X91" s="326"/>
      <c r="Y91" s="326"/>
      <c r="Z91" s="326"/>
      <c r="AA91" s="326"/>
      <c r="AB91" s="326"/>
      <c r="AC91" s="326"/>
      <c r="AD91" s="326"/>
      <c r="AE91" s="326"/>
      <c r="AF91" s="326"/>
      <c r="AG91" s="326"/>
      <c r="AH91" s="326"/>
      <c r="AI91" s="326"/>
      <c r="AJ91" s="326"/>
      <c r="AK91" s="326"/>
      <c r="AL91" s="326"/>
      <c r="AM91" s="326"/>
      <c r="AN91" s="326"/>
      <c r="AO91" s="326"/>
      <c r="AP91" s="326"/>
      <c r="AQ91" s="326"/>
      <c r="AR91" s="326"/>
      <c r="AS91" s="326"/>
      <c r="AT91" s="326"/>
      <c r="AU91" s="326"/>
      <c r="AV91" s="326"/>
      <c r="AW91" s="326"/>
      <c r="AX91" s="326"/>
      <c r="AY91" s="326"/>
      <c r="AZ91" s="326"/>
      <c r="BA91" s="326"/>
      <c r="BB91" s="326"/>
      <c r="BC91" s="326"/>
      <c r="BD91" s="326"/>
      <c r="BE91" s="326"/>
      <c r="BF91" s="326"/>
      <c r="BG91" s="326"/>
      <c r="BH91" s="326"/>
      <c r="BI91" s="326"/>
      <c r="BJ91" s="326"/>
      <c r="BK91" s="326"/>
      <c r="BL91" s="326"/>
      <c r="BM91" s="326"/>
      <c r="BN91" s="326"/>
      <c r="BO91" s="326"/>
      <c r="BP91" s="326"/>
      <c r="BQ91" s="326"/>
      <c r="BR91" s="326"/>
      <c r="BS91" s="326"/>
      <c r="BT91" s="326"/>
      <c r="BU91" s="326"/>
      <c r="BV91" s="326"/>
      <c r="BW91" s="326"/>
      <c r="BX91" s="326"/>
      <c r="BY91" s="326"/>
      <c r="BZ91" s="326"/>
    </row>
    <row r="92" spans="1:78" s="328" customFormat="1" ht="84" customHeight="1">
      <c r="A92" s="322" t="s">
        <v>22</v>
      </c>
      <c r="B92" s="323" t="s">
        <v>23</v>
      </c>
      <c r="C92" s="323" t="s">
        <v>1552</v>
      </c>
      <c r="D92" s="323" t="s">
        <v>1553</v>
      </c>
      <c r="E92" s="323" t="s">
        <v>26</v>
      </c>
      <c r="F92" s="323" t="s">
        <v>27</v>
      </c>
      <c r="G92" s="324" t="s">
        <v>51</v>
      </c>
      <c r="H92" s="324" t="s">
        <v>1554</v>
      </c>
      <c r="I92" s="324" t="s">
        <v>1555</v>
      </c>
      <c r="J92" s="324" t="s">
        <v>1556</v>
      </c>
      <c r="K92" s="419" t="s">
        <v>45</v>
      </c>
      <c r="L92" s="420"/>
      <c r="M92" s="421"/>
      <c r="N92" s="327"/>
      <c r="O92" s="327"/>
      <c r="P92" s="327"/>
      <c r="Q92" s="327"/>
      <c r="R92" s="327"/>
      <c r="S92" s="327"/>
      <c r="T92" s="327"/>
      <c r="U92" s="327"/>
      <c r="V92" s="327"/>
      <c r="W92" s="326"/>
      <c r="X92" s="326"/>
      <c r="Y92" s="326"/>
      <c r="Z92" s="326"/>
      <c r="AA92" s="326"/>
      <c r="AB92" s="326"/>
      <c r="AC92" s="326"/>
      <c r="AD92" s="326"/>
      <c r="AE92" s="326"/>
      <c r="AF92" s="326"/>
      <c r="AG92" s="326"/>
      <c r="AH92" s="326"/>
      <c r="AI92" s="326"/>
      <c r="AJ92" s="326"/>
      <c r="AK92" s="326"/>
      <c r="AL92" s="326"/>
      <c r="AM92" s="326"/>
      <c r="AN92" s="326"/>
      <c r="AO92" s="326"/>
      <c r="AP92" s="326"/>
      <c r="AQ92" s="326"/>
      <c r="AR92" s="326"/>
      <c r="AS92" s="326"/>
      <c r="AT92" s="326"/>
      <c r="AU92" s="326"/>
      <c r="AV92" s="326"/>
      <c r="AW92" s="326"/>
      <c r="AX92" s="326"/>
      <c r="AY92" s="326"/>
      <c r="AZ92" s="326"/>
      <c r="BA92" s="326"/>
      <c r="BB92" s="326"/>
      <c r="BC92" s="326"/>
      <c r="BD92" s="326"/>
      <c r="BE92" s="326"/>
      <c r="BF92" s="326"/>
      <c r="BG92" s="326"/>
      <c r="BH92" s="326"/>
      <c r="BI92" s="326"/>
      <c r="BJ92" s="326"/>
      <c r="BK92" s="326"/>
      <c r="BL92" s="326"/>
      <c r="BM92" s="326"/>
      <c r="BN92" s="326"/>
      <c r="BO92" s="326"/>
      <c r="BP92" s="326"/>
      <c r="BQ92" s="326"/>
      <c r="BR92" s="326"/>
      <c r="BS92" s="326"/>
      <c r="BT92" s="326"/>
      <c r="BU92" s="326"/>
      <c r="BV92" s="326"/>
      <c r="BW92" s="326"/>
      <c r="BX92" s="326"/>
      <c r="BY92" s="326"/>
      <c r="BZ92" s="326"/>
    </row>
    <row r="93" spans="1:78" s="332" customFormat="1" ht="336">
      <c r="A93" s="329" t="s">
        <v>256</v>
      </c>
      <c r="B93" s="333" t="s">
        <v>1548</v>
      </c>
      <c r="C93" s="334" t="s">
        <v>1557</v>
      </c>
      <c r="D93" s="334" t="s">
        <v>1558</v>
      </c>
      <c r="E93" s="333" t="s">
        <v>1559</v>
      </c>
      <c r="F93" s="334">
        <v>2</v>
      </c>
      <c r="G93" s="335">
        <v>10</v>
      </c>
      <c r="H93" s="336" t="s">
        <v>1560</v>
      </c>
      <c r="I93" s="337">
        <v>7996001</v>
      </c>
      <c r="J93" s="337">
        <f t="shared" ref="J93:J115" si="156">I93*F93*G93</f>
        <v>159920020</v>
      </c>
      <c r="K93" s="408" t="s">
        <v>256</v>
      </c>
      <c r="L93" s="409"/>
      <c r="M93" s="410"/>
      <c r="N93" s="330"/>
      <c r="O93" s="330"/>
      <c r="P93" s="330"/>
      <c r="Q93" s="330"/>
      <c r="R93" s="330"/>
      <c r="S93" s="330"/>
      <c r="T93" s="422" t="s">
        <v>56</v>
      </c>
      <c r="U93" s="423"/>
      <c r="V93" s="423"/>
      <c r="W93" s="423"/>
      <c r="X93" s="423"/>
      <c r="Y93" s="424"/>
      <c r="Z93" s="412" t="s">
        <v>57</v>
      </c>
      <c r="AA93" s="414" t="s">
        <v>1561</v>
      </c>
      <c r="AB93" s="331"/>
      <c r="AC93" s="331"/>
      <c r="AD93" s="331"/>
      <c r="AE93" s="331"/>
      <c r="AF93" s="331"/>
      <c r="AG93" s="331"/>
      <c r="AH93" s="331"/>
      <c r="AI93" s="331"/>
      <c r="AJ93" s="331"/>
      <c r="AK93" s="331"/>
      <c r="AL93" s="331"/>
      <c r="AM93" s="331"/>
      <c r="AN93" s="331"/>
      <c r="AO93" s="331"/>
      <c r="AP93" s="331"/>
      <c r="AQ93" s="331"/>
      <c r="AR93" s="331">
        <v>1</v>
      </c>
      <c r="AS93" s="331"/>
      <c r="AT93" s="331"/>
      <c r="AU93" s="331"/>
      <c r="AV93" s="331"/>
      <c r="AW93" s="331"/>
      <c r="AX93" s="331"/>
      <c r="AY93" s="331"/>
      <c r="AZ93" s="331"/>
      <c r="BA93" s="331"/>
      <c r="BB93" s="331"/>
      <c r="BC93" s="331"/>
      <c r="BD93" s="331"/>
      <c r="BE93" s="331"/>
      <c r="BF93" s="331"/>
      <c r="BG93" s="331"/>
      <c r="BH93" s="331"/>
      <c r="BI93" s="331"/>
      <c r="BJ93" s="331"/>
      <c r="BK93" s="331"/>
      <c r="BL93" s="331"/>
      <c r="BM93" s="331"/>
      <c r="BN93" s="331"/>
      <c r="BO93" s="331"/>
      <c r="BP93" s="331"/>
      <c r="BQ93" s="331"/>
      <c r="BR93" s="331"/>
      <c r="BS93" s="331"/>
      <c r="BT93" s="331"/>
      <c r="BU93" s="331"/>
      <c r="BV93" s="331"/>
      <c r="BW93" s="331"/>
      <c r="BX93" s="331"/>
      <c r="BY93" s="331"/>
      <c r="BZ93" s="331"/>
    </row>
    <row r="94" spans="1:78" s="332" customFormat="1" ht="312">
      <c r="A94" s="329" t="s">
        <v>256</v>
      </c>
      <c r="B94" s="333" t="s">
        <v>1548</v>
      </c>
      <c r="C94" s="338" t="s">
        <v>1562</v>
      </c>
      <c r="D94" s="334" t="s">
        <v>1563</v>
      </c>
      <c r="E94" s="333" t="s">
        <v>1559</v>
      </c>
      <c r="F94" s="334">
        <v>4</v>
      </c>
      <c r="G94" s="335">
        <v>9</v>
      </c>
      <c r="H94" s="336" t="s">
        <v>1560</v>
      </c>
      <c r="I94" s="337">
        <v>5114001</v>
      </c>
      <c r="J94" s="337">
        <f t="shared" si="156"/>
        <v>184104036</v>
      </c>
      <c r="K94" s="408" t="s">
        <v>256</v>
      </c>
      <c r="L94" s="409"/>
      <c r="M94" s="410"/>
      <c r="N94" s="330"/>
      <c r="O94" s="330"/>
      <c r="P94" s="330"/>
      <c r="Q94" s="330"/>
      <c r="R94" s="330"/>
      <c r="S94" s="330"/>
      <c r="T94" s="416" t="s">
        <v>256</v>
      </c>
      <c r="U94" s="416"/>
      <c r="V94" s="416"/>
      <c r="W94" s="416"/>
      <c r="X94" s="416"/>
      <c r="Y94" s="416"/>
      <c r="Z94" s="413"/>
      <c r="AA94" s="415"/>
      <c r="AB94" s="331"/>
      <c r="AC94" s="331"/>
      <c r="AD94" s="331"/>
      <c r="AE94" s="331"/>
      <c r="AF94" s="331"/>
      <c r="AG94" s="331"/>
      <c r="AH94" s="331"/>
      <c r="AI94" s="331"/>
      <c r="AJ94" s="331"/>
      <c r="AK94" s="331"/>
      <c r="AL94" s="331"/>
      <c r="AM94" s="331"/>
      <c r="AN94" s="331"/>
      <c r="AO94" s="331"/>
      <c r="AP94" s="331"/>
      <c r="AQ94" s="331"/>
      <c r="AR94" s="331">
        <v>2</v>
      </c>
      <c r="AS94" s="331"/>
      <c r="AT94" s="331"/>
      <c r="AU94" s="331"/>
      <c r="AV94" s="331"/>
      <c r="AW94" s="331"/>
      <c r="AX94" s="331"/>
      <c r="AY94" s="331"/>
      <c r="AZ94" s="331"/>
      <c r="BA94" s="331"/>
      <c r="BB94" s="331"/>
      <c r="BC94" s="331"/>
      <c r="BD94" s="331"/>
      <c r="BE94" s="331"/>
      <c r="BF94" s="331"/>
      <c r="BG94" s="331"/>
      <c r="BH94" s="331"/>
      <c r="BI94" s="331"/>
      <c r="BJ94" s="331"/>
      <c r="BK94" s="331"/>
      <c r="BL94" s="331"/>
      <c r="BM94" s="331"/>
      <c r="BN94" s="331"/>
      <c r="BO94" s="331"/>
      <c r="BP94" s="331"/>
      <c r="BQ94" s="331"/>
      <c r="BR94" s="331"/>
      <c r="BS94" s="331"/>
      <c r="BT94" s="331"/>
      <c r="BU94" s="331"/>
      <c r="BV94" s="331"/>
      <c r="BW94" s="331"/>
      <c r="BX94" s="331"/>
      <c r="BY94" s="331"/>
      <c r="BZ94" s="331"/>
    </row>
    <row r="95" spans="1:78" s="332" customFormat="1" ht="144">
      <c r="A95" s="329" t="s">
        <v>256</v>
      </c>
      <c r="B95" s="333" t="s">
        <v>1548</v>
      </c>
      <c r="C95" s="338" t="s">
        <v>1564</v>
      </c>
      <c r="D95" s="334" t="s">
        <v>1565</v>
      </c>
      <c r="E95" s="333" t="s">
        <v>1559</v>
      </c>
      <c r="F95" s="334">
        <v>6</v>
      </c>
      <c r="G95" s="335">
        <v>7</v>
      </c>
      <c r="H95" s="336" t="s">
        <v>1560</v>
      </c>
      <c r="I95" s="337">
        <v>2146001</v>
      </c>
      <c r="J95" s="337">
        <f t="shared" si="156"/>
        <v>90132042</v>
      </c>
      <c r="K95" s="408" t="s">
        <v>256</v>
      </c>
      <c r="L95" s="409"/>
      <c r="M95" s="410"/>
      <c r="N95" s="330"/>
      <c r="O95" s="330"/>
      <c r="P95" s="330"/>
      <c r="Q95" s="330"/>
      <c r="R95" s="330"/>
      <c r="S95" s="330"/>
      <c r="T95" s="417"/>
      <c r="U95" s="417"/>
      <c r="V95" s="417"/>
      <c r="W95" s="417"/>
      <c r="X95" s="417"/>
      <c r="Y95" s="417"/>
      <c r="Z95" s="413"/>
      <c r="AA95" s="415"/>
      <c r="AB95" s="331"/>
      <c r="AC95" s="331"/>
      <c r="AD95" s="331"/>
      <c r="AE95" s="331"/>
      <c r="AF95" s="331"/>
      <c r="AG95" s="331"/>
      <c r="AH95" s="331"/>
      <c r="AI95" s="331"/>
      <c r="AJ95" s="331"/>
      <c r="AK95" s="331"/>
      <c r="AL95" s="331"/>
      <c r="AM95" s="331"/>
      <c r="AN95" s="331"/>
      <c r="AO95" s="331"/>
      <c r="AP95" s="331"/>
      <c r="AQ95" s="331"/>
      <c r="AR95" s="331"/>
      <c r="AS95" s="331"/>
      <c r="AT95" s="331"/>
      <c r="AU95" s="331"/>
      <c r="AV95" s="331"/>
      <c r="AW95" s="331"/>
      <c r="AX95" s="331"/>
      <c r="AY95" s="331"/>
      <c r="AZ95" s="331"/>
      <c r="BA95" s="331"/>
      <c r="BB95" s="331"/>
      <c r="BC95" s="331"/>
      <c r="BD95" s="331"/>
      <c r="BE95" s="331"/>
      <c r="BF95" s="331"/>
      <c r="BG95" s="331"/>
      <c r="BH95" s="331"/>
      <c r="BI95" s="331"/>
      <c r="BJ95" s="331"/>
      <c r="BK95" s="331"/>
      <c r="BL95" s="331"/>
      <c r="BM95" s="331"/>
      <c r="BN95" s="331"/>
      <c r="BO95" s="331"/>
      <c r="BP95" s="331"/>
      <c r="BQ95" s="331"/>
      <c r="BR95" s="331"/>
      <c r="BS95" s="331"/>
      <c r="BT95" s="331"/>
      <c r="BU95" s="331"/>
      <c r="BV95" s="331"/>
      <c r="BW95" s="331"/>
      <c r="BX95" s="331"/>
      <c r="BY95" s="331"/>
      <c r="BZ95" s="331"/>
    </row>
    <row r="96" spans="1:78" s="332" customFormat="1" ht="240">
      <c r="A96" s="329" t="s">
        <v>256</v>
      </c>
      <c r="B96" s="333" t="s">
        <v>1548</v>
      </c>
      <c r="C96" s="338" t="s">
        <v>1566</v>
      </c>
      <c r="D96" s="334" t="s">
        <v>1567</v>
      </c>
      <c r="E96" s="333" t="s">
        <v>1559</v>
      </c>
      <c r="F96" s="334">
        <v>1</v>
      </c>
      <c r="G96" s="335">
        <v>7</v>
      </c>
      <c r="H96" s="336" t="s">
        <v>1560</v>
      </c>
      <c r="I96" s="337">
        <v>5114001</v>
      </c>
      <c r="J96" s="337">
        <f t="shared" si="156"/>
        <v>35798007</v>
      </c>
      <c r="K96" s="408" t="s">
        <v>256</v>
      </c>
      <c r="L96" s="409"/>
      <c r="M96" s="410"/>
      <c r="N96" s="330"/>
      <c r="O96" s="330"/>
      <c r="P96" s="330"/>
      <c r="Q96" s="330"/>
      <c r="R96" s="330"/>
      <c r="S96" s="330"/>
      <c r="T96" s="417"/>
      <c r="U96" s="417"/>
      <c r="V96" s="417"/>
      <c r="W96" s="417"/>
      <c r="X96" s="417"/>
      <c r="Y96" s="417"/>
      <c r="Z96" s="413"/>
      <c r="AA96" s="415"/>
      <c r="AB96" s="331"/>
      <c r="AC96" s="331"/>
      <c r="AD96" s="331"/>
      <c r="AE96" s="331"/>
      <c r="AF96" s="331"/>
      <c r="AG96" s="331"/>
      <c r="AH96" s="331"/>
      <c r="AI96" s="331"/>
      <c r="AJ96" s="331"/>
      <c r="AK96" s="331"/>
      <c r="AL96" s="331"/>
      <c r="AM96" s="331"/>
      <c r="AN96" s="331"/>
      <c r="AO96" s="331"/>
      <c r="AP96" s="331"/>
      <c r="AQ96" s="331"/>
      <c r="AR96" s="331"/>
      <c r="AS96" s="331"/>
      <c r="AT96" s="331"/>
      <c r="AU96" s="331"/>
      <c r="AV96" s="331"/>
      <c r="AW96" s="331"/>
      <c r="AX96" s="331"/>
      <c r="AY96" s="331"/>
      <c r="AZ96" s="331"/>
      <c r="BA96" s="331"/>
      <c r="BB96" s="331"/>
      <c r="BC96" s="331"/>
      <c r="BD96" s="331"/>
      <c r="BE96" s="331"/>
      <c r="BF96" s="331"/>
      <c r="BG96" s="331"/>
      <c r="BH96" s="331"/>
      <c r="BI96" s="331"/>
      <c r="BJ96" s="331"/>
      <c r="BK96" s="331"/>
      <c r="BL96" s="331"/>
      <c r="BM96" s="331"/>
      <c r="BN96" s="331"/>
      <c r="BO96" s="331"/>
      <c r="BP96" s="331"/>
      <c r="BQ96" s="331"/>
      <c r="BR96" s="331"/>
      <c r="BS96" s="331"/>
      <c r="BT96" s="331"/>
      <c r="BU96" s="331"/>
      <c r="BV96" s="331"/>
      <c r="BW96" s="331"/>
      <c r="BX96" s="331"/>
      <c r="BY96" s="331"/>
      <c r="BZ96" s="331"/>
    </row>
    <row r="97" spans="1:78" s="332" customFormat="1" ht="120">
      <c r="A97" s="329" t="s">
        <v>256</v>
      </c>
      <c r="B97" s="340" t="s">
        <v>1548</v>
      </c>
      <c r="C97" s="339" t="s">
        <v>1568</v>
      </c>
      <c r="D97" s="334" t="s">
        <v>1569</v>
      </c>
      <c r="E97" s="340" t="s">
        <v>1559</v>
      </c>
      <c r="F97" s="334">
        <v>6</v>
      </c>
      <c r="G97" s="335">
        <v>1</v>
      </c>
      <c r="H97" s="336" t="s">
        <v>1560</v>
      </c>
      <c r="I97" s="337">
        <v>1602000</v>
      </c>
      <c r="J97" s="337">
        <f t="shared" si="156"/>
        <v>9612000</v>
      </c>
      <c r="K97" s="408" t="s">
        <v>256</v>
      </c>
      <c r="L97" s="409"/>
      <c r="M97" s="410"/>
      <c r="N97" s="330"/>
      <c r="O97" s="330"/>
      <c r="P97" s="330"/>
      <c r="Q97" s="330"/>
      <c r="R97" s="330"/>
      <c r="S97" s="330"/>
      <c r="T97" s="417"/>
      <c r="U97" s="417"/>
      <c r="V97" s="417"/>
      <c r="W97" s="417"/>
      <c r="X97" s="417"/>
      <c r="Y97" s="417"/>
      <c r="Z97" s="413"/>
      <c r="AA97" s="415"/>
      <c r="AB97" s="331"/>
      <c r="AC97" s="331"/>
      <c r="AD97" s="331"/>
      <c r="AE97" s="331"/>
      <c r="AF97" s="331"/>
      <c r="AG97" s="331"/>
      <c r="AH97" s="331"/>
      <c r="AI97" s="331"/>
      <c r="AJ97" s="331"/>
      <c r="AK97" s="331"/>
      <c r="AL97" s="331"/>
      <c r="AM97" s="331"/>
      <c r="AN97" s="331"/>
      <c r="AO97" s="331"/>
      <c r="AP97" s="331"/>
      <c r="AQ97" s="331"/>
      <c r="AR97" s="331"/>
      <c r="AS97" s="331"/>
      <c r="AT97" s="331"/>
      <c r="AU97" s="331"/>
      <c r="AV97" s="331"/>
      <c r="AW97" s="331"/>
      <c r="AX97" s="331"/>
      <c r="AY97" s="331"/>
      <c r="AZ97" s="331"/>
      <c r="BA97" s="331"/>
      <c r="BB97" s="331"/>
      <c r="BC97" s="331"/>
      <c r="BD97" s="331"/>
      <c r="BE97" s="331"/>
      <c r="BF97" s="331"/>
      <c r="BG97" s="331"/>
      <c r="BH97" s="331"/>
      <c r="BI97" s="331"/>
      <c r="BJ97" s="331"/>
      <c r="BK97" s="331"/>
      <c r="BL97" s="331"/>
      <c r="BM97" s="331"/>
      <c r="BN97" s="331"/>
      <c r="BO97" s="331"/>
      <c r="BP97" s="331"/>
      <c r="BQ97" s="331"/>
      <c r="BR97" s="331"/>
      <c r="BS97" s="331"/>
      <c r="BT97" s="331"/>
      <c r="BU97" s="331"/>
      <c r="BV97" s="331"/>
      <c r="BW97" s="331"/>
      <c r="BX97" s="331"/>
      <c r="BY97" s="331"/>
      <c r="BZ97" s="331"/>
    </row>
    <row r="98" spans="1:78" s="332" customFormat="1" ht="264">
      <c r="A98" s="329" t="s">
        <v>256</v>
      </c>
      <c r="B98" s="333" t="s">
        <v>1363</v>
      </c>
      <c r="C98" s="339" t="s">
        <v>1570</v>
      </c>
      <c r="D98" s="334" t="s">
        <v>1571</v>
      </c>
      <c r="E98" s="333" t="s">
        <v>1559</v>
      </c>
      <c r="F98" s="334">
        <v>1</v>
      </c>
      <c r="G98" s="335">
        <v>4</v>
      </c>
      <c r="H98" s="336" t="s">
        <v>1560</v>
      </c>
      <c r="I98" s="337">
        <v>5860001</v>
      </c>
      <c r="J98" s="337">
        <f t="shared" si="156"/>
        <v>23440004</v>
      </c>
      <c r="K98" s="408" t="s">
        <v>256</v>
      </c>
      <c r="L98" s="409"/>
      <c r="M98" s="410"/>
      <c r="N98" s="330"/>
      <c r="O98" s="330"/>
      <c r="P98" s="330"/>
      <c r="Q98" s="330"/>
      <c r="R98" s="330"/>
      <c r="S98" s="330"/>
      <c r="T98" s="417"/>
      <c r="U98" s="417"/>
      <c r="V98" s="417"/>
      <c r="W98" s="417"/>
      <c r="X98" s="417"/>
      <c r="Y98" s="417"/>
      <c r="Z98" s="413"/>
      <c r="AA98" s="415"/>
      <c r="AB98" s="331"/>
      <c r="AC98" s="331"/>
      <c r="AD98" s="331"/>
      <c r="AE98" s="331"/>
      <c r="AF98" s="331"/>
      <c r="AG98" s="331"/>
      <c r="AH98" s="331"/>
      <c r="AI98" s="331"/>
      <c r="AJ98" s="331"/>
      <c r="AK98" s="331"/>
      <c r="AL98" s="331"/>
      <c r="AM98" s="331"/>
      <c r="AN98" s="331"/>
      <c r="AO98" s="331"/>
      <c r="AP98" s="331"/>
      <c r="AQ98" s="331"/>
      <c r="AR98" s="331"/>
      <c r="AS98" s="331"/>
      <c r="AT98" s="331"/>
      <c r="AU98" s="331"/>
      <c r="AV98" s="331"/>
      <c r="AW98" s="331"/>
      <c r="AX98" s="331"/>
      <c r="AY98" s="331"/>
      <c r="AZ98" s="331"/>
      <c r="BA98" s="331"/>
      <c r="BB98" s="331"/>
      <c r="BC98" s="331"/>
      <c r="BD98" s="331"/>
      <c r="BE98" s="331"/>
      <c r="BF98" s="331"/>
      <c r="BG98" s="331"/>
      <c r="BH98" s="331"/>
      <c r="BI98" s="331"/>
      <c r="BJ98" s="331"/>
      <c r="BK98" s="331"/>
      <c r="BL98" s="331"/>
      <c r="BM98" s="331"/>
      <c r="BN98" s="331"/>
      <c r="BO98" s="331"/>
      <c r="BP98" s="331"/>
      <c r="BQ98" s="331"/>
      <c r="BR98" s="331"/>
      <c r="BS98" s="331"/>
      <c r="BT98" s="331"/>
      <c r="BU98" s="331"/>
      <c r="BV98" s="331"/>
      <c r="BW98" s="331"/>
      <c r="BX98" s="331"/>
      <c r="BY98" s="331"/>
      <c r="BZ98" s="331"/>
    </row>
    <row r="99" spans="1:78" s="332" customFormat="1" ht="336">
      <c r="A99" s="329" t="s">
        <v>256</v>
      </c>
      <c r="B99" s="333" t="s">
        <v>1394</v>
      </c>
      <c r="C99" s="334" t="s">
        <v>1572</v>
      </c>
      <c r="D99" s="334" t="s">
        <v>1573</v>
      </c>
      <c r="E99" s="333" t="s">
        <v>1559</v>
      </c>
      <c r="F99" s="334">
        <v>2</v>
      </c>
      <c r="G99" s="335">
        <v>2</v>
      </c>
      <c r="H99" s="336" t="s">
        <v>1560</v>
      </c>
      <c r="I99" s="337">
        <v>5114001</v>
      </c>
      <c r="J99" s="337">
        <f>I99*F99*G99</f>
        <v>20456004</v>
      </c>
      <c r="K99" s="408" t="s">
        <v>256</v>
      </c>
      <c r="L99" s="409"/>
      <c r="M99" s="410"/>
      <c r="N99" s="330"/>
      <c r="O99" s="330"/>
      <c r="P99" s="330"/>
      <c r="Q99" s="330"/>
      <c r="R99" s="330"/>
      <c r="S99" s="330"/>
      <c r="T99" s="330"/>
      <c r="U99" s="330"/>
      <c r="V99" s="330"/>
      <c r="W99" s="331"/>
      <c r="X99" s="331"/>
      <c r="Y99" s="331"/>
      <c r="Z99" s="331"/>
      <c r="AA99" s="331"/>
      <c r="AB99" s="331"/>
      <c r="AC99" s="331"/>
      <c r="AD99" s="331"/>
      <c r="AE99" s="331"/>
      <c r="AF99" s="331"/>
      <c r="AG99" s="331"/>
      <c r="AH99" s="331"/>
      <c r="AI99" s="331"/>
      <c r="AJ99" s="331"/>
      <c r="AK99" s="331"/>
      <c r="AL99" s="331"/>
      <c r="AM99" s="331"/>
      <c r="AN99" s="331"/>
      <c r="AO99" s="331"/>
      <c r="AP99" s="331"/>
      <c r="AQ99" s="331"/>
      <c r="AR99" s="331"/>
      <c r="AS99" s="331"/>
      <c r="AT99" s="331"/>
      <c r="AU99" s="331"/>
      <c r="AV99" s="331"/>
      <c r="AW99" s="331"/>
      <c r="AX99" s="331"/>
      <c r="AY99" s="331"/>
      <c r="AZ99" s="331"/>
      <c r="BA99" s="331"/>
      <c r="BB99" s="331"/>
      <c r="BC99" s="331"/>
      <c r="BD99" s="331"/>
      <c r="BE99" s="331"/>
      <c r="BF99" s="331"/>
      <c r="BG99" s="331"/>
      <c r="BH99" s="331"/>
      <c r="BI99" s="331"/>
      <c r="BJ99" s="331"/>
      <c r="BK99" s="331"/>
      <c r="BL99" s="331"/>
      <c r="BM99" s="331"/>
      <c r="BN99" s="331"/>
      <c r="BO99" s="331"/>
      <c r="BP99" s="331"/>
      <c r="BQ99" s="331"/>
      <c r="BR99" s="331"/>
      <c r="BS99" s="331"/>
      <c r="BT99" s="331"/>
      <c r="BU99" s="331"/>
      <c r="BV99" s="331"/>
      <c r="BW99" s="331"/>
      <c r="BX99" s="331"/>
      <c r="BY99" s="331"/>
      <c r="BZ99" s="331"/>
    </row>
    <row r="100" spans="1:78" s="332" customFormat="1" ht="216">
      <c r="A100" s="329" t="s">
        <v>256</v>
      </c>
      <c r="B100" s="333" t="s">
        <v>1394</v>
      </c>
      <c r="C100" s="338" t="s">
        <v>1574</v>
      </c>
      <c r="D100" s="334" t="s">
        <v>1575</v>
      </c>
      <c r="E100" s="333" t="s">
        <v>1559</v>
      </c>
      <c r="F100" s="334">
        <v>2</v>
      </c>
      <c r="G100" s="335">
        <v>1</v>
      </c>
      <c r="H100" s="336" t="s">
        <v>1560</v>
      </c>
      <c r="I100" s="337" t="s">
        <v>1576</v>
      </c>
      <c r="J100" s="337">
        <v>6448002</v>
      </c>
      <c r="K100" s="408" t="s">
        <v>256</v>
      </c>
      <c r="L100" s="409"/>
      <c r="M100" s="410"/>
      <c r="N100" s="330"/>
      <c r="O100" s="330"/>
      <c r="P100" s="330"/>
      <c r="Q100" s="330"/>
      <c r="R100" s="330"/>
      <c r="S100" s="330"/>
      <c r="T100" s="330"/>
      <c r="U100" s="330"/>
      <c r="V100" s="330"/>
      <c r="W100" s="331"/>
      <c r="X100" s="331"/>
      <c r="Y100" s="331"/>
      <c r="Z100" s="331"/>
      <c r="AA100" s="331"/>
      <c r="AB100" s="331"/>
      <c r="AC100" s="331"/>
      <c r="AD100" s="331"/>
      <c r="AE100" s="331"/>
      <c r="AF100" s="331"/>
      <c r="AG100" s="331"/>
      <c r="AH100" s="331"/>
      <c r="AI100" s="331"/>
      <c r="AJ100" s="331"/>
      <c r="AK100" s="331"/>
      <c r="AL100" s="331"/>
      <c r="AM100" s="331"/>
      <c r="AN100" s="331"/>
      <c r="AO100" s="331"/>
      <c r="AP100" s="331"/>
      <c r="AQ100" s="331"/>
      <c r="AR100" s="331"/>
      <c r="AS100" s="331"/>
      <c r="AT100" s="331"/>
      <c r="AU100" s="331"/>
      <c r="AV100" s="331"/>
      <c r="AW100" s="331"/>
      <c r="AX100" s="331"/>
      <c r="AY100" s="331"/>
      <c r="AZ100" s="331"/>
      <c r="BA100" s="331"/>
      <c r="BB100" s="331"/>
      <c r="BC100" s="331"/>
      <c r="BD100" s="331"/>
      <c r="BE100" s="331"/>
      <c r="BF100" s="331"/>
      <c r="BG100" s="331"/>
      <c r="BH100" s="331"/>
      <c r="BI100" s="331"/>
      <c r="BJ100" s="331"/>
      <c r="BK100" s="331"/>
      <c r="BL100" s="331"/>
      <c r="BM100" s="331"/>
      <c r="BN100" s="331"/>
      <c r="BO100" s="331"/>
      <c r="BP100" s="331"/>
      <c r="BQ100" s="331"/>
      <c r="BR100" s="331"/>
      <c r="BS100" s="331"/>
      <c r="BT100" s="331"/>
      <c r="BU100" s="331"/>
      <c r="BV100" s="331"/>
      <c r="BW100" s="331"/>
      <c r="BX100" s="331"/>
      <c r="BY100" s="331"/>
      <c r="BZ100" s="331"/>
    </row>
    <row r="101" spans="1:78" s="332" customFormat="1" ht="336">
      <c r="A101" s="329" t="s">
        <v>256</v>
      </c>
      <c r="B101" s="333" t="s">
        <v>1397</v>
      </c>
      <c r="C101" s="334" t="s">
        <v>1577</v>
      </c>
      <c r="D101" s="334" t="s">
        <v>1578</v>
      </c>
      <c r="E101" s="333" t="s">
        <v>1559</v>
      </c>
      <c r="F101" s="334">
        <v>1</v>
      </c>
      <c r="G101" s="335">
        <v>4</v>
      </c>
      <c r="H101" s="336" t="s">
        <v>1560</v>
      </c>
      <c r="I101" s="337">
        <v>5114001</v>
      </c>
      <c r="J101" s="337">
        <f t="shared" si="156"/>
        <v>20456004</v>
      </c>
      <c r="K101" s="408" t="s">
        <v>256</v>
      </c>
      <c r="L101" s="409"/>
      <c r="M101" s="410"/>
      <c r="N101" s="330"/>
      <c r="O101" s="330"/>
      <c r="P101" s="330"/>
      <c r="Q101" s="330"/>
      <c r="R101" s="330"/>
      <c r="S101" s="330"/>
      <c r="T101" s="330"/>
      <c r="U101" s="330"/>
      <c r="V101" s="330"/>
      <c r="W101" s="331"/>
      <c r="X101" s="331"/>
      <c r="Y101" s="331"/>
      <c r="Z101" s="331"/>
      <c r="AA101" s="331"/>
      <c r="AB101" s="331"/>
      <c r="AC101" s="331"/>
      <c r="AD101" s="331"/>
      <c r="AE101" s="331"/>
      <c r="AF101" s="331"/>
      <c r="AG101" s="331"/>
      <c r="AH101" s="331"/>
      <c r="AI101" s="331"/>
      <c r="AJ101" s="331"/>
      <c r="AK101" s="331"/>
      <c r="AL101" s="331"/>
      <c r="AM101" s="331"/>
      <c r="AN101" s="331"/>
      <c r="AO101" s="331"/>
      <c r="AP101" s="331"/>
      <c r="AQ101" s="331"/>
      <c r="AR101" s="331">
        <v>3</v>
      </c>
      <c r="AS101" s="331"/>
      <c r="AT101" s="331"/>
      <c r="AU101" s="331"/>
      <c r="AV101" s="331"/>
      <c r="AW101" s="331"/>
      <c r="AX101" s="331"/>
      <c r="AY101" s="331"/>
      <c r="AZ101" s="331"/>
      <c r="BA101" s="331"/>
      <c r="BB101" s="331"/>
      <c r="BC101" s="331"/>
      <c r="BD101" s="331"/>
      <c r="BE101" s="331"/>
      <c r="BF101" s="331"/>
      <c r="BG101" s="331"/>
      <c r="BH101" s="331"/>
      <c r="BI101" s="331"/>
      <c r="BJ101" s="331"/>
      <c r="BK101" s="331"/>
      <c r="BL101" s="331"/>
      <c r="BM101" s="331"/>
      <c r="BN101" s="331"/>
      <c r="BO101" s="331"/>
      <c r="BP101" s="331"/>
      <c r="BQ101" s="331"/>
      <c r="BR101" s="331"/>
      <c r="BS101" s="331"/>
      <c r="BT101" s="331"/>
      <c r="BU101" s="331"/>
      <c r="BV101" s="331"/>
      <c r="BW101" s="331"/>
      <c r="BX101" s="331"/>
      <c r="BY101" s="331"/>
      <c r="BZ101" s="331"/>
    </row>
    <row r="102" spans="1:78" s="332" customFormat="1" ht="264">
      <c r="A102" s="329" t="s">
        <v>256</v>
      </c>
      <c r="B102" s="333" t="s">
        <v>1397</v>
      </c>
      <c r="C102" s="338" t="s">
        <v>1566</v>
      </c>
      <c r="D102" s="334" t="s">
        <v>1579</v>
      </c>
      <c r="E102" s="333" t="s">
        <v>1559</v>
      </c>
      <c r="F102" s="334">
        <v>1</v>
      </c>
      <c r="G102" s="335">
        <v>4</v>
      </c>
      <c r="H102" s="336" t="s">
        <v>1560</v>
      </c>
      <c r="I102" s="337">
        <v>5114001</v>
      </c>
      <c r="J102" s="337">
        <f t="shared" si="156"/>
        <v>20456004</v>
      </c>
      <c r="K102" s="408" t="s">
        <v>256</v>
      </c>
      <c r="L102" s="409"/>
      <c r="M102" s="410"/>
      <c r="N102" s="330"/>
      <c r="O102" s="330"/>
      <c r="P102" s="330"/>
      <c r="Q102" s="330"/>
      <c r="R102" s="330"/>
      <c r="S102" s="330"/>
      <c r="T102" s="330"/>
      <c r="U102" s="330"/>
      <c r="V102" s="330"/>
      <c r="W102" s="331"/>
      <c r="X102" s="331"/>
      <c r="Y102" s="331"/>
      <c r="Z102" s="331"/>
      <c r="AA102" s="331"/>
      <c r="AB102" s="331"/>
      <c r="AC102" s="331"/>
      <c r="AD102" s="331"/>
      <c r="AE102" s="331"/>
      <c r="AF102" s="331"/>
      <c r="AG102" s="331"/>
      <c r="AH102" s="331"/>
      <c r="AI102" s="331"/>
      <c r="AJ102" s="331"/>
      <c r="AK102" s="331"/>
      <c r="AL102" s="331"/>
      <c r="AM102" s="331"/>
      <c r="AN102" s="331"/>
      <c r="AO102" s="331"/>
      <c r="AP102" s="331"/>
      <c r="AQ102" s="331"/>
      <c r="AR102" s="331">
        <v>4</v>
      </c>
      <c r="AS102" s="331"/>
      <c r="AT102" s="331"/>
      <c r="AU102" s="331"/>
      <c r="AV102" s="331"/>
      <c r="AW102" s="331"/>
      <c r="AX102" s="331"/>
      <c r="AY102" s="331"/>
      <c r="AZ102" s="331"/>
      <c r="BA102" s="331"/>
      <c r="BB102" s="331"/>
      <c r="BC102" s="331"/>
      <c r="BD102" s="331"/>
      <c r="BE102" s="331"/>
      <c r="BF102" s="331"/>
      <c r="BG102" s="331"/>
      <c r="BH102" s="331"/>
      <c r="BI102" s="331"/>
      <c r="BJ102" s="331"/>
      <c r="BK102" s="331"/>
      <c r="BL102" s="331"/>
      <c r="BM102" s="331"/>
      <c r="BN102" s="331"/>
      <c r="BO102" s="331"/>
      <c r="BP102" s="331"/>
      <c r="BQ102" s="331"/>
      <c r="BR102" s="331"/>
      <c r="BS102" s="331"/>
      <c r="BT102" s="331"/>
      <c r="BU102" s="331"/>
      <c r="BV102" s="331"/>
      <c r="BW102" s="331"/>
      <c r="BX102" s="331"/>
      <c r="BY102" s="331"/>
      <c r="BZ102" s="331"/>
    </row>
    <row r="103" spans="1:78" s="332" customFormat="1" ht="240">
      <c r="A103" s="329" t="s">
        <v>256</v>
      </c>
      <c r="B103" s="333" t="s">
        <v>1397</v>
      </c>
      <c r="C103" s="338" t="s">
        <v>1580</v>
      </c>
      <c r="D103" s="334" t="s">
        <v>1581</v>
      </c>
      <c r="E103" s="333" t="s">
        <v>1559</v>
      </c>
      <c r="F103" s="334">
        <v>1</v>
      </c>
      <c r="G103" s="335">
        <v>4</v>
      </c>
      <c r="H103" s="336" t="s">
        <v>1560</v>
      </c>
      <c r="I103" s="337">
        <v>5114001</v>
      </c>
      <c r="J103" s="337">
        <f t="shared" si="156"/>
        <v>20456004</v>
      </c>
      <c r="K103" s="408" t="s">
        <v>256</v>
      </c>
      <c r="L103" s="409"/>
      <c r="M103" s="410"/>
      <c r="N103" s="330"/>
      <c r="O103" s="330"/>
      <c r="P103" s="330"/>
      <c r="Q103" s="330"/>
      <c r="R103" s="330"/>
      <c r="S103" s="330"/>
      <c r="T103" s="330"/>
      <c r="U103" s="330"/>
      <c r="V103" s="330"/>
      <c r="W103" s="331"/>
      <c r="X103" s="331"/>
      <c r="Y103" s="331"/>
      <c r="Z103" s="331"/>
      <c r="AA103" s="331"/>
      <c r="AB103" s="331"/>
      <c r="AC103" s="331"/>
      <c r="AD103" s="331"/>
      <c r="AE103" s="331"/>
      <c r="AF103" s="331"/>
      <c r="AG103" s="331"/>
      <c r="AH103" s="331"/>
      <c r="AI103" s="331"/>
      <c r="AJ103" s="331"/>
      <c r="AK103" s="331"/>
      <c r="AL103" s="331"/>
      <c r="AM103" s="331"/>
      <c r="AN103" s="331"/>
      <c r="AO103" s="331"/>
      <c r="AP103" s="331"/>
      <c r="AQ103" s="331"/>
      <c r="AR103" s="331">
        <v>5</v>
      </c>
      <c r="AS103" s="331"/>
      <c r="AT103" s="331"/>
      <c r="AU103" s="331"/>
      <c r="AV103" s="331"/>
      <c r="AW103" s="331"/>
      <c r="AX103" s="331"/>
      <c r="AY103" s="331"/>
      <c r="AZ103" s="331"/>
      <c r="BA103" s="331"/>
      <c r="BB103" s="331"/>
      <c r="BC103" s="331"/>
      <c r="BD103" s="331"/>
      <c r="BE103" s="331"/>
      <c r="BF103" s="331"/>
      <c r="BG103" s="331"/>
      <c r="BH103" s="331"/>
      <c r="BI103" s="331"/>
      <c r="BJ103" s="331"/>
      <c r="BK103" s="331"/>
      <c r="BL103" s="331"/>
      <c r="BM103" s="331"/>
      <c r="BN103" s="331"/>
      <c r="BO103" s="331"/>
      <c r="BP103" s="331"/>
      <c r="BQ103" s="331"/>
      <c r="BR103" s="331"/>
      <c r="BS103" s="331"/>
      <c r="BT103" s="331"/>
      <c r="BU103" s="331"/>
      <c r="BV103" s="331"/>
      <c r="BW103" s="331"/>
      <c r="BX103" s="331"/>
      <c r="BY103" s="331"/>
      <c r="BZ103" s="331"/>
    </row>
    <row r="104" spans="1:78" s="332" customFormat="1" ht="264">
      <c r="A104" s="329" t="s">
        <v>256</v>
      </c>
      <c r="B104" s="333" t="s">
        <v>1397</v>
      </c>
      <c r="C104" s="334" t="s">
        <v>1582</v>
      </c>
      <c r="D104" s="334" t="s">
        <v>1583</v>
      </c>
      <c r="E104" s="333" t="s">
        <v>1559</v>
      </c>
      <c r="F104" s="334">
        <v>1</v>
      </c>
      <c r="G104" s="335">
        <v>4</v>
      </c>
      <c r="H104" s="336" t="s">
        <v>1560</v>
      </c>
      <c r="I104" s="337">
        <v>5114001</v>
      </c>
      <c r="J104" s="337">
        <f t="shared" si="156"/>
        <v>20456004</v>
      </c>
      <c r="K104" s="408" t="s">
        <v>256</v>
      </c>
      <c r="L104" s="409"/>
      <c r="M104" s="410"/>
      <c r="N104" s="330"/>
      <c r="O104" s="330"/>
      <c r="P104" s="330"/>
      <c r="Q104" s="330"/>
      <c r="R104" s="330"/>
      <c r="S104" s="330"/>
      <c r="T104" s="330"/>
      <c r="U104" s="330"/>
      <c r="V104" s="330"/>
      <c r="W104" s="331"/>
      <c r="X104" s="331"/>
      <c r="Y104" s="331"/>
      <c r="Z104" s="331"/>
      <c r="AA104" s="331"/>
      <c r="AB104" s="331"/>
      <c r="AC104" s="331"/>
      <c r="AD104" s="331"/>
      <c r="AE104" s="331"/>
      <c r="AF104" s="331"/>
      <c r="AG104" s="331"/>
      <c r="AH104" s="331"/>
      <c r="AI104" s="331"/>
      <c r="AJ104" s="331"/>
      <c r="AK104" s="331"/>
      <c r="AL104" s="331"/>
      <c r="AM104" s="331"/>
      <c r="AN104" s="331"/>
      <c r="AO104" s="331"/>
      <c r="AP104" s="331"/>
      <c r="AQ104" s="331"/>
      <c r="AR104" s="331">
        <v>6</v>
      </c>
      <c r="AS104" s="331"/>
      <c r="AT104" s="331"/>
      <c r="AU104" s="331"/>
      <c r="AV104" s="331"/>
      <c r="AW104" s="331"/>
      <c r="AX104" s="331"/>
      <c r="AY104" s="331"/>
      <c r="AZ104" s="331"/>
      <c r="BA104" s="331"/>
      <c r="BB104" s="331"/>
      <c r="BC104" s="331"/>
      <c r="BD104" s="331"/>
      <c r="BE104" s="331"/>
      <c r="BF104" s="331"/>
      <c r="BG104" s="331"/>
      <c r="BH104" s="331"/>
      <c r="BI104" s="331"/>
      <c r="BJ104" s="331"/>
      <c r="BK104" s="331"/>
      <c r="BL104" s="331"/>
      <c r="BM104" s="331"/>
      <c r="BN104" s="331"/>
      <c r="BO104" s="331"/>
      <c r="BP104" s="331"/>
      <c r="BQ104" s="331"/>
      <c r="BR104" s="331"/>
      <c r="BS104" s="331"/>
      <c r="BT104" s="331"/>
      <c r="BU104" s="331"/>
      <c r="BV104" s="331"/>
      <c r="BW104" s="331"/>
      <c r="BX104" s="331"/>
      <c r="BY104" s="331"/>
      <c r="BZ104" s="331"/>
    </row>
    <row r="105" spans="1:78" s="332" customFormat="1" ht="288">
      <c r="A105" s="329" t="s">
        <v>256</v>
      </c>
      <c r="B105" s="333" t="s">
        <v>1397</v>
      </c>
      <c r="C105" s="334" t="s">
        <v>1584</v>
      </c>
      <c r="D105" s="334" t="s">
        <v>1585</v>
      </c>
      <c r="E105" s="333" t="s">
        <v>1559</v>
      </c>
      <c r="F105" s="334">
        <v>1</v>
      </c>
      <c r="G105" s="335">
        <v>4</v>
      </c>
      <c r="H105" s="336" t="s">
        <v>1560</v>
      </c>
      <c r="I105" s="337">
        <v>5114001</v>
      </c>
      <c r="J105" s="337">
        <f t="shared" si="156"/>
        <v>20456004</v>
      </c>
      <c r="K105" s="408" t="s">
        <v>256</v>
      </c>
      <c r="L105" s="409"/>
      <c r="M105" s="410"/>
      <c r="N105" s="330"/>
      <c r="O105" s="330"/>
      <c r="P105" s="330"/>
      <c r="Q105" s="330"/>
      <c r="R105" s="330"/>
      <c r="S105" s="330"/>
      <c r="T105" s="330"/>
      <c r="U105" s="330"/>
      <c r="V105" s="330"/>
      <c r="W105" s="331"/>
      <c r="X105" s="331"/>
      <c r="Y105" s="331"/>
      <c r="Z105" s="331"/>
      <c r="AA105" s="331"/>
      <c r="AB105" s="331"/>
      <c r="AC105" s="331"/>
      <c r="AD105" s="331"/>
      <c r="AE105" s="331"/>
      <c r="AF105" s="331"/>
      <c r="AG105" s="331"/>
      <c r="AH105" s="331"/>
      <c r="AI105" s="331"/>
      <c r="AJ105" s="331"/>
      <c r="AK105" s="331"/>
      <c r="AL105" s="331"/>
      <c r="AM105" s="331"/>
      <c r="AN105" s="331"/>
      <c r="AO105" s="331"/>
      <c r="AP105" s="331"/>
      <c r="AQ105" s="331"/>
      <c r="AR105" s="331"/>
      <c r="AS105" s="331"/>
      <c r="AT105" s="331"/>
      <c r="AU105" s="331"/>
      <c r="AV105" s="331"/>
      <c r="AW105" s="331"/>
      <c r="AX105" s="331"/>
      <c r="AY105" s="331"/>
      <c r="AZ105" s="331"/>
      <c r="BA105" s="331"/>
      <c r="BB105" s="331"/>
      <c r="BC105" s="331"/>
      <c r="BD105" s="331"/>
      <c r="BE105" s="331"/>
      <c r="BF105" s="331"/>
      <c r="BG105" s="331"/>
      <c r="BH105" s="331"/>
      <c r="BI105" s="331"/>
      <c r="BJ105" s="331"/>
      <c r="BK105" s="331"/>
      <c r="BL105" s="331"/>
      <c r="BM105" s="331"/>
      <c r="BN105" s="331"/>
      <c r="BO105" s="331"/>
      <c r="BP105" s="331"/>
      <c r="BQ105" s="331"/>
      <c r="BR105" s="331"/>
      <c r="BS105" s="331"/>
      <c r="BT105" s="331"/>
      <c r="BU105" s="331"/>
      <c r="BV105" s="331"/>
      <c r="BW105" s="331"/>
      <c r="BX105" s="331"/>
      <c r="BY105" s="331"/>
      <c r="BZ105" s="331"/>
    </row>
    <row r="106" spans="1:78" s="332" customFormat="1" ht="312">
      <c r="A106" s="329" t="s">
        <v>256</v>
      </c>
      <c r="B106" s="333" t="s">
        <v>1586</v>
      </c>
      <c r="C106" s="334" t="s">
        <v>1587</v>
      </c>
      <c r="D106" s="334" t="s">
        <v>1588</v>
      </c>
      <c r="E106" s="333" t="s">
        <v>1559</v>
      </c>
      <c r="F106" s="334">
        <v>2</v>
      </c>
      <c r="G106" s="335">
        <v>2</v>
      </c>
      <c r="H106" s="336" t="s">
        <v>1560</v>
      </c>
      <c r="I106" s="337">
        <v>5114001</v>
      </c>
      <c r="J106" s="337">
        <f t="shared" si="156"/>
        <v>20456004</v>
      </c>
      <c r="K106" s="408" t="s">
        <v>256</v>
      </c>
      <c r="L106" s="409"/>
      <c r="M106" s="410"/>
      <c r="N106" s="330"/>
      <c r="O106" s="330"/>
      <c r="P106" s="330"/>
      <c r="Q106" s="330"/>
      <c r="R106" s="330"/>
      <c r="S106" s="330"/>
      <c r="T106" s="330"/>
      <c r="U106" s="330"/>
      <c r="V106" s="330"/>
      <c r="W106" s="331"/>
      <c r="X106" s="331"/>
      <c r="Y106" s="331"/>
      <c r="Z106" s="331"/>
      <c r="AA106" s="331"/>
      <c r="AB106" s="331"/>
      <c r="AC106" s="331"/>
      <c r="AD106" s="331"/>
      <c r="AE106" s="331"/>
      <c r="AF106" s="331"/>
      <c r="AG106" s="331"/>
      <c r="AH106" s="331"/>
      <c r="AI106" s="331"/>
      <c r="AJ106" s="331"/>
      <c r="AK106" s="331"/>
      <c r="AL106" s="331"/>
      <c r="AM106" s="331"/>
      <c r="AN106" s="331"/>
      <c r="AO106" s="331"/>
      <c r="AP106" s="331"/>
      <c r="AQ106" s="331"/>
      <c r="AR106" s="331"/>
      <c r="AS106" s="331"/>
      <c r="AT106" s="331"/>
      <c r="AU106" s="331"/>
      <c r="AV106" s="331"/>
      <c r="AW106" s="331"/>
      <c r="AX106" s="331"/>
      <c r="AY106" s="331"/>
      <c r="AZ106" s="331"/>
      <c r="BA106" s="331"/>
      <c r="BB106" s="331"/>
      <c r="BC106" s="331"/>
      <c r="BD106" s="331"/>
      <c r="BE106" s="331"/>
      <c r="BF106" s="331"/>
      <c r="BG106" s="331"/>
      <c r="BH106" s="331"/>
      <c r="BI106" s="331"/>
      <c r="BJ106" s="331"/>
      <c r="BK106" s="331"/>
      <c r="BL106" s="331"/>
      <c r="BM106" s="331"/>
      <c r="BN106" s="331"/>
      <c r="BO106" s="331"/>
      <c r="BP106" s="331"/>
      <c r="BQ106" s="331"/>
      <c r="BR106" s="331"/>
      <c r="BS106" s="331"/>
      <c r="BT106" s="331"/>
      <c r="BU106" s="331"/>
      <c r="BV106" s="331"/>
      <c r="BW106" s="331"/>
      <c r="BX106" s="331"/>
      <c r="BY106" s="331"/>
      <c r="BZ106" s="331"/>
    </row>
    <row r="107" spans="1:78" s="332" customFormat="1" ht="384">
      <c r="A107" s="329" t="s">
        <v>256</v>
      </c>
      <c r="B107" s="340" t="s">
        <v>1586</v>
      </c>
      <c r="C107" s="334" t="s">
        <v>1589</v>
      </c>
      <c r="D107" s="333" t="s">
        <v>1590</v>
      </c>
      <c r="E107" s="333" t="s">
        <v>1559</v>
      </c>
      <c r="F107" s="334">
        <v>2</v>
      </c>
      <c r="G107" s="335">
        <v>2</v>
      </c>
      <c r="H107" s="336" t="s">
        <v>1560</v>
      </c>
      <c r="I107" s="337">
        <v>3640001</v>
      </c>
      <c r="J107" s="337">
        <f t="shared" si="156"/>
        <v>14560004</v>
      </c>
      <c r="K107" s="408" t="s">
        <v>256</v>
      </c>
      <c r="L107" s="409"/>
      <c r="M107" s="410"/>
      <c r="N107" s="330"/>
      <c r="O107" s="330"/>
      <c r="P107" s="330"/>
      <c r="Q107" s="330"/>
      <c r="R107" s="330"/>
      <c r="S107" s="330"/>
      <c r="T107" s="330"/>
      <c r="U107" s="330"/>
      <c r="V107" s="330"/>
      <c r="W107" s="331"/>
      <c r="X107" s="331"/>
      <c r="Y107" s="331"/>
      <c r="Z107" s="331"/>
      <c r="AA107" s="331"/>
      <c r="AB107" s="331"/>
      <c r="AC107" s="331"/>
      <c r="AD107" s="331"/>
      <c r="AE107" s="331"/>
      <c r="AF107" s="331"/>
      <c r="AG107" s="331"/>
      <c r="AH107" s="331"/>
      <c r="AI107" s="331"/>
      <c r="AJ107" s="331"/>
      <c r="AK107" s="331"/>
      <c r="AL107" s="331"/>
      <c r="AM107" s="331"/>
      <c r="AN107" s="331"/>
      <c r="AO107" s="331"/>
      <c r="AP107" s="331"/>
      <c r="AQ107" s="331"/>
      <c r="AR107" s="331"/>
      <c r="AS107" s="331"/>
      <c r="AT107" s="331"/>
      <c r="AU107" s="331"/>
      <c r="AV107" s="331"/>
      <c r="AW107" s="331"/>
      <c r="AX107" s="331"/>
      <c r="AY107" s="331"/>
      <c r="AZ107" s="331"/>
      <c r="BA107" s="331"/>
      <c r="BB107" s="331"/>
      <c r="BC107" s="331"/>
      <c r="BD107" s="331"/>
      <c r="BE107" s="331"/>
      <c r="BF107" s="331"/>
      <c r="BG107" s="331"/>
      <c r="BH107" s="331"/>
      <c r="BI107" s="331"/>
      <c r="BJ107" s="331"/>
      <c r="BK107" s="331"/>
      <c r="BL107" s="331"/>
      <c r="BM107" s="331"/>
      <c r="BN107" s="331"/>
      <c r="BO107" s="331"/>
      <c r="BP107" s="331"/>
      <c r="BQ107" s="331"/>
      <c r="BR107" s="331"/>
      <c r="BS107" s="331"/>
      <c r="BT107" s="331"/>
      <c r="BU107" s="331"/>
      <c r="BV107" s="331"/>
      <c r="BW107" s="331"/>
      <c r="BX107" s="331"/>
      <c r="BY107" s="331"/>
      <c r="BZ107" s="331"/>
    </row>
    <row r="108" spans="1:78" s="332" customFormat="1" ht="360">
      <c r="A108" s="329" t="s">
        <v>256</v>
      </c>
      <c r="B108" s="340" t="s">
        <v>1591</v>
      </c>
      <c r="C108" s="334" t="s">
        <v>1592</v>
      </c>
      <c r="D108" s="334" t="s">
        <v>1593</v>
      </c>
      <c r="E108" s="340" t="s">
        <v>1559</v>
      </c>
      <c r="F108" s="334">
        <v>4</v>
      </c>
      <c r="G108" s="335">
        <v>9</v>
      </c>
      <c r="H108" s="336" t="s">
        <v>1560</v>
      </c>
      <c r="I108" s="337">
        <v>5114001</v>
      </c>
      <c r="J108" s="337">
        <f t="shared" si="156"/>
        <v>184104036</v>
      </c>
      <c r="K108" s="408"/>
      <c r="L108" s="409"/>
      <c r="M108" s="410"/>
      <c r="N108" s="330"/>
      <c r="O108" s="330"/>
      <c r="P108" s="330"/>
      <c r="Q108" s="330"/>
      <c r="R108" s="330"/>
      <c r="S108" s="330"/>
      <c r="T108" s="330"/>
      <c r="U108" s="330"/>
      <c r="V108" s="330"/>
      <c r="W108" s="331"/>
      <c r="X108" s="331"/>
      <c r="Y108" s="331"/>
      <c r="Z108" s="331"/>
      <c r="AA108" s="331"/>
      <c r="AB108" s="331"/>
      <c r="AC108" s="331"/>
      <c r="AD108" s="331"/>
      <c r="AE108" s="331"/>
      <c r="AF108" s="331"/>
      <c r="AG108" s="331"/>
      <c r="AH108" s="331"/>
      <c r="AI108" s="331"/>
      <c r="AJ108" s="331"/>
      <c r="AK108" s="331"/>
      <c r="AL108" s="331"/>
      <c r="AM108" s="331"/>
      <c r="AN108" s="331"/>
      <c r="AO108" s="331"/>
      <c r="AP108" s="331"/>
      <c r="AQ108" s="331"/>
      <c r="AR108" s="331"/>
      <c r="AS108" s="331"/>
      <c r="AT108" s="331"/>
      <c r="AU108" s="331"/>
      <c r="AV108" s="331"/>
      <c r="AW108" s="331"/>
      <c r="AX108" s="331"/>
      <c r="AY108" s="331"/>
      <c r="AZ108" s="331"/>
      <c r="BA108" s="331"/>
      <c r="BB108" s="331"/>
      <c r="BC108" s="331"/>
      <c r="BD108" s="331"/>
      <c r="BE108" s="331"/>
      <c r="BF108" s="331"/>
      <c r="BG108" s="331"/>
      <c r="BH108" s="331"/>
      <c r="BI108" s="331"/>
      <c r="BJ108" s="331"/>
      <c r="BK108" s="331"/>
      <c r="BL108" s="331"/>
      <c r="BM108" s="331"/>
      <c r="BN108" s="331"/>
      <c r="BO108" s="331"/>
      <c r="BP108" s="331"/>
      <c r="BQ108" s="331"/>
      <c r="BR108" s="331"/>
      <c r="BS108" s="331"/>
      <c r="BT108" s="331"/>
      <c r="BU108" s="331"/>
      <c r="BV108" s="331"/>
      <c r="BW108" s="331"/>
      <c r="BX108" s="331"/>
      <c r="BY108" s="331"/>
      <c r="BZ108" s="331"/>
    </row>
    <row r="109" spans="1:78" s="332" customFormat="1" ht="288">
      <c r="A109" s="329" t="s">
        <v>256</v>
      </c>
      <c r="B109" s="333" t="s">
        <v>1594</v>
      </c>
      <c r="C109" s="338" t="s">
        <v>1595</v>
      </c>
      <c r="D109" s="334" t="s">
        <v>1596</v>
      </c>
      <c r="E109" s="333" t="s">
        <v>1559</v>
      </c>
      <c r="F109" s="334">
        <v>1</v>
      </c>
      <c r="G109" s="335">
        <v>2</v>
      </c>
      <c r="H109" s="336" t="s">
        <v>1560</v>
      </c>
      <c r="I109" s="337">
        <v>5114001</v>
      </c>
      <c r="J109" s="337">
        <f t="shared" si="156"/>
        <v>10228002</v>
      </c>
      <c r="K109" s="408" t="s">
        <v>256</v>
      </c>
      <c r="L109" s="409"/>
      <c r="M109" s="410"/>
      <c r="N109" s="330"/>
      <c r="O109" s="330"/>
      <c r="P109" s="330"/>
      <c r="Q109" s="330"/>
      <c r="R109" s="330"/>
      <c r="S109" s="330"/>
      <c r="T109" s="330"/>
      <c r="U109" s="330"/>
      <c r="V109" s="330"/>
      <c r="W109" s="331"/>
      <c r="X109" s="331"/>
      <c r="Y109" s="331"/>
      <c r="Z109" s="331"/>
      <c r="AA109" s="331"/>
      <c r="AB109" s="331"/>
      <c r="AC109" s="331"/>
      <c r="AD109" s="331"/>
      <c r="AE109" s="331"/>
      <c r="AF109" s="331"/>
      <c r="AG109" s="331"/>
      <c r="AH109" s="331"/>
      <c r="AI109" s="331"/>
      <c r="AJ109" s="331"/>
      <c r="AK109" s="331"/>
      <c r="AL109" s="331"/>
      <c r="AM109" s="331"/>
      <c r="AN109" s="331"/>
      <c r="AO109" s="331"/>
      <c r="AP109" s="331"/>
      <c r="AQ109" s="331"/>
      <c r="AR109" s="331"/>
      <c r="AS109" s="331"/>
      <c r="AT109" s="331"/>
      <c r="AU109" s="331"/>
      <c r="AV109" s="331"/>
      <c r="AW109" s="331"/>
      <c r="AX109" s="331"/>
      <c r="AY109" s="331"/>
      <c r="AZ109" s="331"/>
      <c r="BA109" s="331"/>
      <c r="BB109" s="331"/>
      <c r="BC109" s="331"/>
      <c r="BD109" s="331"/>
      <c r="BE109" s="331"/>
      <c r="BF109" s="331"/>
      <c r="BG109" s="331"/>
      <c r="BH109" s="331"/>
      <c r="BI109" s="331"/>
      <c r="BJ109" s="331"/>
      <c r="BK109" s="331"/>
      <c r="BL109" s="331"/>
      <c r="BM109" s="331"/>
      <c r="BN109" s="331"/>
      <c r="BO109" s="331"/>
      <c r="BP109" s="331"/>
      <c r="BQ109" s="331"/>
      <c r="BR109" s="331"/>
      <c r="BS109" s="331"/>
      <c r="BT109" s="331"/>
      <c r="BU109" s="331"/>
      <c r="BV109" s="331"/>
      <c r="BW109" s="331"/>
      <c r="BX109" s="331"/>
      <c r="BY109" s="331"/>
      <c r="BZ109" s="331"/>
    </row>
    <row r="110" spans="1:78" s="332" customFormat="1" ht="312">
      <c r="A110" s="329" t="s">
        <v>256</v>
      </c>
      <c r="B110" s="333" t="s">
        <v>1597</v>
      </c>
      <c r="C110" s="338" t="s">
        <v>1598</v>
      </c>
      <c r="D110" s="334" t="s">
        <v>1599</v>
      </c>
      <c r="E110" s="333" t="s">
        <v>1559</v>
      </c>
      <c r="F110" s="334">
        <v>3</v>
      </c>
      <c r="G110" s="335">
        <v>2</v>
      </c>
      <c r="H110" s="336" t="s">
        <v>1560</v>
      </c>
      <c r="I110" s="337">
        <v>3224001</v>
      </c>
      <c r="J110" s="337">
        <f t="shared" si="156"/>
        <v>19344006</v>
      </c>
      <c r="K110" s="408" t="s">
        <v>256</v>
      </c>
      <c r="L110" s="409"/>
      <c r="M110" s="410"/>
      <c r="N110" s="330"/>
      <c r="O110" s="330"/>
      <c r="P110" s="330"/>
      <c r="Q110" s="330"/>
      <c r="R110" s="330"/>
      <c r="S110" s="330"/>
      <c r="T110" s="330"/>
      <c r="U110" s="330"/>
      <c r="V110" s="330"/>
      <c r="W110" s="331"/>
      <c r="X110" s="331"/>
      <c r="Y110" s="331"/>
      <c r="Z110" s="331"/>
      <c r="AA110" s="331"/>
      <c r="AB110" s="331"/>
      <c r="AC110" s="331"/>
      <c r="AD110" s="331"/>
      <c r="AE110" s="331"/>
      <c r="AF110" s="331"/>
      <c r="AG110" s="331"/>
      <c r="AH110" s="331"/>
      <c r="AI110" s="331"/>
      <c r="AJ110" s="331"/>
      <c r="AK110" s="331"/>
      <c r="AL110" s="331"/>
      <c r="AM110" s="331"/>
      <c r="AN110" s="331"/>
      <c r="AO110" s="331"/>
      <c r="AP110" s="331"/>
      <c r="AQ110" s="331"/>
      <c r="AR110" s="331"/>
      <c r="AS110" s="331"/>
      <c r="AT110" s="331"/>
      <c r="AU110" s="331"/>
      <c r="AV110" s="331"/>
      <c r="AW110" s="331"/>
      <c r="AX110" s="331"/>
      <c r="AY110" s="331"/>
      <c r="AZ110" s="331"/>
      <c r="BA110" s="331"/>
      <c r="BB110" s="331"/>
      <c r="BC110" s="331"/>
      <c r="BD110" s="331"/>
      <c r="BE110" s="331"/>
      <c r="BF110" s="331"/>
      <c r="BG110" s="331"/>
      <c r="BH110" s="331"/>
      <c r="BI110" s="331"/>
      <c r="BJ110" s="331"/>
      <c r="BK110" s="331"/>
      <c r="BL110" s="331"/>
      <c r="BM110" s="331"/>
      <c r="BN110" s="331"/>
      <c r="BO110" s="331"/>
      <c r="BP110" s="331"/>
      <c r="BQ110" s="331"/>
      <c r="BR110" s="331"/>
      <c r="BS110" s="331"/>
      <c r="BT110" s="331"/>
      <c r="BU110" s="331"/>
      <c r="BV110" s="331"/>
      <c r="BW110" s="331"/>
      <c r="BX110" s="331"/>
      <c r="BY110" s="331"/>
      <c r="BZ110" s="331"/>
    </row>
    <row r="111" spans="1:78" s="332" customFormat="1" ht="240">
      <c r="A111" s="329" t="s">
        <v>256</v>
      </c>
      <c r="B111" s="333" t="s">
        <v>1597</v>
      </c>
      <c r="C111" s="338" t="s">
        <v>1600</v>
      </c>
      <c r="D111" s="334" t="s">
        <v>1601</v>
      </c>
      <c r="E111" s="333" t="s">
        <v>1559</v>
      </c>
      <c r="F111" s="334">
        <v>3</v>
      </c>
      <c r="G111" s="335">
        <v>2</v>
      </c>
      <c r="H111" s="336" t="s">
        <v>1560</v>
      </c>
      <c r="I111" s="337">
        <v>3224001</v>
      </c>
      <c r="J111" s="337">
        <f t="shared" si="156"/>
        <v>19344006</v>
      </c>
      <c r="K111" s="408" t="s">
        <v>256</v>
      </c>
      <c r="L111" s="409"/>
      <c r="M111" s="410"/>
      <c r="N111" s="330"/>
      <c r="O111" s="330"/>
      <c r="P111" s="330"/>
      <c r="Q111" s="330"/>
      <c r="R111" s="330"/>
      <c r="S111" s="330"/>
      <c r="T111" s="330"/>
      <c r="U111" s="330"/>
      <c r="V111" s="330"/>
      <c r="W111" s="331"/>
      <c r="X111" s="331"/>
      <c r="Y111" s="331"/>
      <c r="Z111" s="331"/>
      <c r="AA111" s="331"/>
      <c r="AB111" s="331"/>
      <c r="AC111" s="331"/>
      <c r="AD111" s="331"/>
      <c r="AE111" s="331"/>
      <c r="AF111" s="331"/>
      <c r="AG111" s="331"/>
      <c r="AH111" s="331"/>
      <c r="AI111" s="331"/>
      <c r="AJ111" s="331"/>
      <c r="AK111" s="331"/>
      <c r="AL111" s="331"/>
      <c r="AM111" s="331"/>
      <c r="AN111" s="331"/>
      <c r="AO111" s="331"/>
      <c r="AP111" s="331"/>
      <c r="AQ111" s="331"/>
      <c r="AR111" s="331"/>
      <c r="AS111" s="331"/>
      <c r="AT111" s="331"/>
      <c r="AU111" s="331"/>
      <c r="AV111" s="331"/>
      <c r="AW111" s="331"/>
      <c r="AX111" s="331"/>
      <c r="AY111" s="331"/>
      <c r="AZ111" s="331"/>
      <c r="BA111" s="331"/>
      <c r="BB111" s="331"/>
      <c r="BC111" s="331"/>
      <c r="BD111" s="331"/>
      <c r="BE111" s="331"/>
      <c r="BF111" s="331"/>
      <c r="BG111" s="331"/>
      <c r="BH111" s="331"/>
      <c r="BI111" s="331"/>
      <c r="BJ111" s="331"/>
      <c r="BK111" s="331"/>
      <c r="BL111" s="331"/>
      <c r="BM111" s="331"/>
      <c r="BN111" s="331"/>
      <c r="BO111" s="331"/>
      <c r="BP111" s="331"/>
      <c r="BQ111" s="331"/>
      <c r="BR111" s="331"/>
      <c r="BS111" s="331"/>
      <c r="BT111" s="331"/>
      <c r="BU111" s="331"/>
      <c r="BV111" s="331"/>
      <c r="BW111" s="331"/>
      <c r="BX111" s="331"/>
      <c r="BY111" s="331"/>
      <c r="BZ111" s="331"/>
    </row>
    <row r="112" spans="1:78" s="332" customFormat="1" ht="216">
      <c r="A112" s="329" t="s">
        <v>256</v>
      </c>
      <c r="B112" s="333" t="s">
        <v>1602</v>
      </c>
      <c r="C112" s="338" t="s">
        <v>1603</v>
      </c>
      <c r="D112" s="334" t="s">
        <v>1604</v>
      </c>
      <c r="E112" s="333" t="s">
        <v>1559</v>
      </c>
      <c r="F112" s="334">
        <v>1</v>
      </c>
      <c r="G112" s="335">
        <v>2</v>
      </c>
      <c r="H112" s="336" t="s">
        <v>1560</v>
      </c>
      <c r="I112" s="337">
        <v>3095001</v>
      </c>
      <c r="J112" s="337">
        <f t="shared" si="156"/>
        <v>6190002</v>
      </c>
      <c r="K112" s="408" t="s">
        <v>256</v>
      </c>
      <c r="L112" s="409"/>
      <c r="M112" s="410"/>
      <c r="N112" s="330"/>
      <c r="O112" s="330"/>
      <c r="P112" s="330"/>
      <c r="Q112" s="330"/>
      <c r="R112" s="330"/>
      <c r="S112" s="330"/>
      <c r="T112" s="330"/>
      <c r="U112" s="330"/>
      <c r="V112" s="330"/>
      <c r="W112" s="331"/>
      <c r="X112" s="331"/>
      <c r="Y112" s="331"/>
      <c r="Z112" s="331"/>
      <c r="AA112" s="331"/>
      <c r="AB112" s="331"/>
      <c r="AC112" s="331"/>
      <c r="AD112" s="331"/>
      <c r="AE112" s="331"/>
      <c r="AF112" s="331"/>
      <c r="AG112" s="331"/>
      <c r="AH112" s="331"/>
      <c r="AI112" s="331"/>
      <c r="AJ112" s="331"/>
      <c r="AK112" s="331"/>
      <c r="AL112" s="331"/>
      <c r="AM112" s="331"/>
      <c r="AN112" s="331"/>
      <c r="AO112" s="331"/>
      <c r="AP112" s="331"/>
      <c r="AQ112" s="331"/>
      <c r="AR112" s="331"/>
      <c r="AS112" s="331"/>
      <c r="AT112" s="331"/>
      <c r="AU112" s="331"/>
      <c r="AV112" s="331"/>
      <c r="AW112" s="331"/>
      <c r="AX112" s="331"/>
      <c r="AY112" s="331"/>
      <c r="AZ112" s="331"/>
      <c r="BA112" s="331"/>
      <c r="BB112" s="331"/>
      <c r="BC112" s="331"/>
      <c r="BD112" s="331"/>
      <c r="BE112" s="331"/>
      <c r="BF112" s="331"/>
      <c r="BG112" s="331"/>
      <c r="BH112" s="331"/>
      <c r="BI112" s="331"/>
      <c r="BJ112" s="331"/>
      <c r="BK112" s="331"/>
      <c r="BL112" s="331"/>
      <c r="BM112" s="331"/>
      <c r="BN112" s="331"/>
      <c r="BO112" s="331"/>
      <c r="BP112" s="331"/>
      <c r="BQ112" s="331"/>
      <c r="BR112" s="331"/>
      <c r="BS112" s="331"/>
      <c r="BT112" s="331"/>
      <c r="BU112" s="331"/>
      <c r="BV112" s="331"/>
      <c r="BW112" s="331"/>
      <c r="BX112" s="331"/>
      <c r="BY112" s="331"/>
      <c r="BZ112" s="331"/>
    </row>
    <row r="113" spans="1:78" s="332" customFormat="1" ht="336">
      <c r="A113" s="329" t="s">
        <v>256</v>
      </c>
      <c r="B113" s="333" t="s">
        <v>1605</v>
      </c>
      <c r="C113" s="334" t="s">
        <v>1606</v>
      </c>
      <c r="D113" s="334" t="s">
        <v>1607</v>
      </c>
      <c r="E113" s="333" t="s">
        <v>1559</v>
      </c>
      <c r="F113" s="334">
        <v>2</v>
      </c>
      <c r="G113" s="335">
        <v>2</v>
      </c>
      <c r="H113" s="336" t="s">
        <v>1560</v>
      </c>
      <c r="I113" s="337">
        <v>5114001</v>
      </c>
      <c r="J113" s="337">
        <f t="shared" si="156"/>
        <v>20456004</v>
      </c>
      <c r="K113" s="408" t="s">
        <v>256</v>
      </c>
      <c r="L113" s="409"/>
      <c r="M113" s="410"/>
      <c r="N113" s="330"/>
      <c r="O113" s="330"/>
      <c r="P113" s="330"/>
      <c r="Q113" s="330"/>
      <c r="R113" s="330"/>
      <c r="S113" s="330"/>
      <c r="T113" s="330"/>
      <c r="U113" s="330"/>
      <c r="V113" s="330"/>
      <c r="W113" s="331"/>
      <c r="X113" s="331"/>
      <c r="Y113" s="331"/>
      <c r="Z113" s="331"/>
      <c r="AA113" s="331"/>
      <c r="AB113" s="331"/>
      <c r="AC113" s="331"/>
      <c r="AD113" s="331"/>
      <c r="AE113" s="331"/>
      <c r="AF113" s="331"/>
      <c r="AG113" s="331"/>
      <c r="AH113" s="331"/>
      <c r="AI113" s="331"/>
      <c r="AJ113" s="331"/>
      <c r="AK113" s="331"/>
      <c r="AL113" s="331"/>
      <c r="AM113" s="331"/>
      <c r="AN113" s="331"/>
      <c r="AO113" s="331"/>
      <c r="AP113" s="331"/>
      <c r="AQ113" s="331"/>
      <c r="AR113" s="331"/>
      <c r="AS113" s="331"/>
      <c r="AT113" s="331"/>
      <c r="AU113" s="331"/>
      <c r="AV113" s="331"/>
      <c r="AW113" s="331"/>
      <c r="AX113" s="331"/>
      <c r="AY113" s="331"/>
      <c r="AZ113" s="331"/>
      <c r="BA113" s="331"/>
      <c r="BB113" s="331"/>
      <c r="BC113" s="331"/>
      <c r="BD113" s="331"/>
      <c r="BE113" s="331"/>
      <c r="BF113" s="331"/>
      <c r="BG113" s="331"/>
      <c r="BH113" s="331"/>
      <c r="BI113" s="331"/>
      <c r="BJ113" s="331"/>
      <c r="BK113" s="331"/>
      <c r="BL113" s="331"/>
      <c r="BM113" s="331"/>
      <c r="BN113" s="331"/>
      <c r="BO113" s="331"/>
      <c r="BP113" s="331"/>
      <c r="BQ113" s="331"/>
      <c r="BR113" s="331"/>
      <c r="BS113" s="331"/>
      <c r="BT113" s="331"/>
      <c r="BU113" s="331"/>
      <c r="BV113" s="331"/>
      <c r="BW113" s="331"/>
      <c r="BX113" s="331"/>
      <c r="BY113" s="331"/>
      <c r="BZ113" s="331"/>
    </row>
    <row r="114" spans="1:78" s="332" customFormat="1" ht="288">
      <c r="A114" s="329" t="s">
        <v>256</v>
      </c>
      <c r="B114" s="333" t="s">
        <v>1605</v>
      </c>
      <c r="C114" s="334" t="s">
        <v>1608</v>
      </c>
      <c r="D114" s="334" t="s">
        <v>1609</v>
      </c>
      <c r="E114" s="333" t="s">
        <v>1559</v>
      </c>
      <c r="F114" s="334">
        <v>2</v>
      </c>
      <c r="G114" s="335">
        <v>2</v>
      </c>
      <c r="H114" s="336" t="s">
        <v>1560</v>
      </c>
      <c r="I114" s="337">
        <v>3224001</v>
      </c>
      <c r="J114" s="337">
        <f t="shared" si="156"/>
        <v>12896004</v>
      </c>
      <c r="K114" s="408" t="s">
        <v>256</v>
      </c>
      <c r="L114" s="409"/>
      <c r="M114" s="410"/>
      <c r="N114" s="330"/>
      <c r="O114" s="330"/>
      <c r="P114" s="330"/>
      <c r="Q114" s="330"/>
      <c r="R114" s="330"/>
      <c r="S114" s="330"/>
      <c r="T114" s="330"/>
      <c r="U114" s="330"/>
      <c r="V114" s="330"/>
      <c r="W114" s="331"/>
      <c r="X114" s="331"/>
      <c r="Y114" s="331"/>
      <c r="Z114" s="331"/>
      <c r="AA114" s="331"/>
      <c r="AB114" s="331"/>
      <c r="AC114" s="331"/>
      <c r="AD114" s="331"/>
      <c r="AE114" s="331"/>
      <c r="AF114" s="331"/>
      <c r="AG114" s="331"/>
      <c r="AH114" s="331"/>
      <c r="AI114" s="331"/>
      <c r="AJ114" s="331"/>
      <c r="AK114" s="331"/>
      <c r="AL114" s="331"/>
      <c r="AM114" s="331"/>
      <c r="AN114" s="331"/>
      <c r="AO114" s="331"/>
      <c r="AP114" s="331"/>
      <c r="AQ114" s="331"/>
      <c r="AR114" s="331"/>
      <c r="AS114" s="331"/>
      <c r="AT114" s="331"/>
      <c r="AU114" s="331"/>
      <c r="AV114" s="331"/>
      <c r="AW114" s="331"/>
      <c r="AX114" s="331"/>
      <c r="AY114" s="331"/>
      <c r="AZ114" s="331"/>
      <c r="BA114" s="331"/>
      <c r="BB114" s="331"/>
      <c r="BC114" s="331"/>
      <c r="BD114" s="331"/>
      <c r="BE114" s="331"/>
      <c r="BF114" s="331"/>
      <c r="BG114" s="331"/>
      <c r="BH114" s="331"/>
      <c r="BI114" s="331"/>
      <c r="BJ114" s="331"/>
      <c r="BK114" s="331"/>
      <c r="BL114" s="331"/>
      <c r="BM114" s="331"/>
      <c r="BN114" s="331"/>
      <c r="BO114" s="331"/>
      <c r="BP114" s="331"/>
      <c r="BQ114" s="331"/>
      <c r="BR114" s="331"/>
      <c r="BS114" s="331"/>
      <c r="BT114" s="331"/>
      <c r="BU114" s="331"/>
      <c r="BV114" s="331"/>
      <c r="BW114" s="331"/>
      <c r="BX114" s="331"/>
      <c r="BY114" s="331"/>
      <c r="BZ114" s="331"/>
    </row>
    <row r="115" spans="1:78" s="332" customFormat="1" ht="168">
      <c r="A115" s="329" t="s">
        <v>256</v>
      </c>
      <c r="B115" s="333" t="s">
        <v>1495</v>
      </c>
      <c r="C115" s="338" t="s">
        <v>1610</v>
      </c>
      <c r="D115" s="334" t="s">
        <v>1611</v>
      </c>
      <c r="E115" s="333" t="s">
        <v>1559</v>
      </c>
      <c r="F115" s="334">
        <v>2</v>
      </c>
      <c r="G115" s="335">
        <v>2</v>
      </c>
      <c r="H115" s="336" t="s">
        <v>1560</v>
      </c>
      <c r="I115" s="337">
        <v>2146001</v>
      </c>
      <c r="J115" s="337">
        <f t="shared" si="156"/>
        <v>8584004</v>
      </c>
      <c r="K115" s="408" t="s">
        <v>256</v>
      </c>
      <c r="L115" s="409"/>
      <c r="M115" s="410"/>
      <c r="N115" s="330"/>
      <c r="O115" s="330"/>
      <c r="P115" s="330"/>
      <c r="Q115" s="330"/>
      <c r="R115" s="330"/>
      <c r="S115" s="330"/>
      <c r="T115" s="330"/>
      <c r="U115" s="330"/>
      <c r="V115" s="330"/>
      <c r="W115" s="331"/>
      <c r="X115" s="331"/>
      <c r="Y115" s="331"/>
      <c r="Z115" s="331"/>
      <c r="AA115" s="331"/>
      <c r="AB115" s="331"/>
      <c r="AC115" s="331"/>
      <c r="AD115" s="331"/>
      <c r="AE115" s="331"/>
      <c r="AF115" s="331"/>
      <c r="AG115" s="331"/>
      <c r="AH115" s="331"/>
      <c r="AI115" s="331"/>
      <c r="AJ115" s="331"/>
      <c r="AK115" s="331"/>
      <c r="AL115" s="331"/>
      <c r="AM115" s="331"/>
      <c r="AN115" s="331"/>
      <c r="AO115" s="331"/>
      <c r="AP115" s="331"/>
      <c r="AQ115" s="331"/>
      <c r="AR115" s="331"/>
      <c r="AS115" s="331"/>
      <c r="AT115" s="331"/>
      <c r="AU115" s="331"/>
      <c r="AV115" s="331"/>
      <c r="AW115" s="331"/>
      <c r="AX115" s="331"/>
      <c r="AY115" s="331"/>
      <c r="AZ115" s="331"/>
      <c r="BA115" s="331"/>
      <c r="BB115" s="331"/>
      <c r="BC115" s="331"/>
      <c r="BD115" s="331"/>
      <c r="BE115" s="331"/>
      <c r="BF115" s="331"/>
      <c r="BG115" s="331"/>
      <c r="BH115" s="331"/>
      <c r="BI115" s="331"/>
      <c r="BJ115" s="331"/>
      <c r="BK115" s="331"/>
      <c r="BL115" s="331"/>
      <c r="BM115" s="331"/>
      <c r="BN115" s="331"/>
      <c r="BO115" s="331"/>
      <c r="BP115" s="331"/>
      <c r="BQ115" s="331"/>
      <c r="BR115" s="331"/>
      <c r="BS115" s="331"/>
      <c r="BT115" s="331"/>
      <c r="BU115" s="331"/>
      <c r="BV115" s="331"/>
      <c r="BW115" s="331"/>
      <c r="BX115" s="331"/>
      <c r="BY115" s="331"/>
      <c r="BZ115" s="331"/>
    </row>
    <row r="116" spans="1:78" s="332" customFormat="1" ht="30" customHeight="1">
      <c r="A116" s="411" t="s">
        <v>1612</v>
      </c>
      <c r="B116" s="411"/>
      <c r="C116" s="411"/>
      <c r="D116" s="411"/>
      <c r="E116" s="411"/>
      <c r="F116" s="411"/>
      <c r="G116" s="411"/>
      <c r="H116" s="411"/>
      <c r="I116" s="342">
        <f>SUM(I93:I115)</f>
        <v>97525021</v>
      </c>
      <c r="J116" s="342">
        <f>SUM(J93:J115)</f>
        <v>948352207</v>
      </c>
      <c r="K116" s="330"/>
      <c r="L116" s="330"/>
      <c r="M116" s="331"/>
      <c r="N116" s="331"/>
      <c r="O116" s="331"/>
      <c r="P116" s="331"/>
      <c r="Q116" s="331"/>
      <c r="R116" s="331"/>
      <c r="S116" s="331"/>
      <c r="T116" s="331"/>
      <c r="U116" s="331"/>
      <c r="V116" s="331"/>
      <c r="W116" s="331"/>
      <c r="X116" s="331"/>
      <c r="Y116" s="331"/>
      <c r="Z116" s="331"/>
      <c r="AA116" s="331"/>
      <c r="AB116" s="331"/>
      <c r="AC116" s="331"/>
      <c r="AD116" s="331"/>
      <c r="AE116" s="331"/>
      <c r="AF116" s="331"/>
      <c r="AG116" s="331"/>
      <c r="AH116" s="331"/>
      <c r="AI116" s="331"/>
      <c r="AJ116" s="331"/>
      <c r="AK116" s="331"/>
      <c r="AL116" s="331"/>
      <c r="AM116" s="331"/>
      <c r="AN116" s="331"/>
      <c r="AO116" s="331"/>
      <c r="AP116" s="331"/>
      <c r="AQ116" s="331"/>
      <c r="AR116" s="331"/>
      <c r="AS116" s="331"/>
      <c r="AT116" s="331"/>
      <c r="AU116" s="331"/>
      <c r="AV116" s="331"/>
      <c r="AW116" s="331"/>
      <c r="AX116" s="331"/>
      <c r="AY116" s="331"/>
      <c r="AZ116" s="331"/>
      <c r="BA116" s="331"/>
      <c r="BB116" s="331"/>
      <c r="BC116" s="331"/>
      <c r="BD116" s="331"/>
      <c r="BE116" s="331"/>
      <c r="BF116" s="331"/>
      <c r="BG116" s="331"/>
      <c r="BH116" s="331"/>
      <c r="BI116" s="331"/>
      <c r="BJ116" s="331"/>
      <c r="BK116" s="331"/>
      <c r="BL116" s="331"/>
      <c r="BM116" s="331"/>
      <c r="BN116" s="331"/>
      <c r="BO116" s="331"/>
      <c r="BP116" s="331"/>
      <c r="BQ116" s="331"/>
      <c r="BR116" s="331"/>
      <c r="BS116" s="331"/>
      <c r="BT116" s="331"/>
      <c r="BU116" s="331"/>
      <c r="BV116" s="331"/>
      <c r="BW116" s="331"/>
      <c r="BX116" s="331"/>
      <c r="BY116" s="331"/>
      <c r="BZ116" s="331"/>
    </row>
    <row r="117" spans="1:78" ht="15" customHeight="1">
      <c r="AA117" s="358"/>
    </row>
  </sheetData>
  <sheetProtection formatColumns="0" formatRows="0" insertColumns="0" insertRows="0" autoFilter="0"/>
  <autoFilter ref="A9:CR116" xr:uid="{FC5FBFA2-1057-4849-861C-3CF4C9DC69CB}"/>
  <mergeCells count="44">
    <mergeCell ref="Z8:AC8"/>
    <mergeCell ref="A3:M3"/>
    <mergeCell ref="A4:B6"/>
    <mergeCell ref="F6:M6"/>
    <mergeCell ref="D5:M5"/>
    <mergeCell ref="Z4:AA4"/>
    <mergeCell ref="Z5:AA5"/>
    <mergeCell ref="Z6:AA6"/>
    <mergeCell ref="N8:S8"/>
    <mergeCell ref="T8:Y8"/>
    <mergeCell ref="N3:W6"/>
    <mergeCell ref="D4:L4"/>
    <mergeCell ref="H8:M8"/>
    <mergeCell ref="A90:G90"/>
    <mergeCell ref="K92:M92"/>
    <mergeCell ref="K93:M93"/>
    <mergeCell ref="T93:Y93"/>
    <mergeCell ref="A89:Y89"/>
    <mergeCell ref="Z93:Z98"/>
    <mergeCell ref="AA93:AA98"/>
    <mergeCell ref="K94:M94"/>
    <mergeCell ref="T94:Y98"/>
    <mergeCell ref="K95:M95"/>
    <mergeCell ref="K96:M96"/>
    <mergeCell ref="K97:M97"/>
    <mergeCell ref="K98:M98"/>
    <mergeCell ref="K99:M99"/>
    <mergeCell ref="K100:M100"/>
    <mergeCell ref="K101:M101"/>
    <mergeCell ref="K102:M102"/>
    <mergeCell ref="K103:M103"/>
    <mergeCell ref="K104:M104"/>
    <mergeCell ref="A116:H116"/>
    <mergeCell ref="K105:M105"/>
    <mergeCell ref="K106:M106"/>
    <mergeCell ref="K107:M107"/>
    <mergeCell ref="K108:M108"/>
    <mergeCell ref="K109:M109"/>
    <mergeCell ref="K110:M110"/>
    <mergeCell ref="K111:M111"/>
    <mergeCell ref="K112:M112"/>
    <mergeCell ref="K113:M113"/>
    <mergeCell ref="K114:M114"/>
    <mergeCell ref="K115:M115"/>
  </mergeCells>
  <conditionalFormatting sqref="AC10 AC64:AC65 AC67:AC69 AC85:AC89 AC12:AC62">
    <cfRule type="cellIs" dxfId="22" priority="25" stopIfTrue="1" operator="greaterThan">
      <formula>0.2</formula>
    </cfRule>
  </conditionalFormatting>
  <conditionalFormatting sqref="AC11">
    <cfRule type="cellIs" dxfId="21" priority="7" stopIfTrue="1" operator="greaterThan">
      <formula>0.2</formula>
    </cfRule>
  </conditionalFormatting>
  <conditionalFormatting sqref="AC66">
    <cfRule type="cellIs" dxfId="20" priority="6" stopIfTrue="1" operator="greaterThan">
      <formula>0.2</formula>
    </cfRule>
  </conditionalFormatting>
  <conditionalFormatting sqref="AC71:AC82">
    <cfRule type="cellIs" dxfId="19" priority="5" stopIfTrue="1" operator="greaterThan">
      <formula>0.2</formula>
    </cfRule>
  </conditionalFormatting>
  <conditionalFormatting sqref="AC83">
    <cfRule type="cellIs" dxfId="18" priority="4" stopIfTrue="1" operator="greaterThan">
      <formula>0.2</formula>
    </cfRule>
  </conditionalFormatting>
  <conditionalFormatting sqref="AC84">
    <cfRule type="cellIs" dxfId="17" priority="2"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3750C36C-53AB-4024-94CE-11C3C31AE4C6}">
          <x14:formula1>
            <xm:f>Lista!$V$8:$V$14</xm:f>
          </x14:formula1>
          <xm:sqref>D5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28C662-5885-4E27-865A-3625A88400FF}">
  <dimension ref="B6:AZ126"/>
  <sheetViews>
    <sheetView tabSelected="1" zoomScale="70" zoomScaleNormal="70" workbookViewId="0">
      <selection activeCell="I8" sqref="I8"/>
    </sheetView>
  </sheetViews>
  <sheetFormatPr defaultColWidth="9.42578125" defaultRowHeight="15"/>
  <cols>
    <col min="1" max="1" width="9.42578125" style="490"/>
    <col min="2" max="2" width="9.42578125" style="490" bestFit="1" customWidth="1"/>
    <col min="3" max="3" width="58.5703125" style="490" customWidth="1"/>
    <col min="4" max="4" width="72" style="490" customWidth="1"/>
    <col min="5" max="5" width="15.140625" style="490" customWidth="1"/>
    <col min="6" max="6" width="18.5703125" style="491" customWidth="1"/>
    <col min="7" max="7" width="25.42578125" style="491" customWidth="1"/>
    <col min="8" max="8" width="27.140625" style="490" customWidth="1"/>
    <col min="9" max="9" width="34.42578125" style="490" customWidth="1"/>
    <col min="10" max="11" width="17.42578125" style="490" hidden="1" customWidth="1"/>
    <col min="12" max="12" width="17.5703125" style="490" hidden="1" customWidth="1"/>
    <col min="13" max="13" width="19.42578125" style="490" hidden="1" customWidth="1"/>
    <col min="14" max="14" width="9.42578125" style="490" customWidth="1"/>
    <col min="15" max="16384" width="9.42578125" style="490"/>
  </cols>
  <sheetData>
    <row r="6" spans="2:52" s="1" customFormat="1" ht="36.6" customHeight="1">
      <c r="B6" s="492"/>
      <c r="C6" s="492"/>
      <c r="D6" s="493" t="s">
        <v>1613</v>
      </c>
      <c r="E6" s="494"/>
      <c r="F6" s="494"/>
      <c r="G6" s="494"/>
      <c r="H6" s="494"/>
      <c r="I6" s="495"/>
      <c r="J6" s="496" t="s">
        <v>1614</v>
      </c>
      <c r="K6" s="497"/>
      <c r="L6" s="497"/>
      <c r="M6" s="497"/>
    </row>
    <row r="7" spans="2:52" s="2" customFormat="1" ht="24">
      <c r="B7" s="492"/>
      <c r="C7" s="492"/>
      <c r="D7" s="17" t="s">
        <v>14</v>
      </c>
      <c r="E7" s="551">
        <v>2894000000</v>
      </c>
      <c r="F7" s="551"/>
      <c r="G7" s="551"/>
      <c r="H7" s="551"/>
      <c r="I7" s="551"/>
      <c r="J7" s="496"/>
      <c r="K7" s="497"/>
      <c r="L7" s="497"/>
      <c r="M7" s="497"/>
    </row>
    <row r="8" spans="2:52" s="505" customFormat="1" ht="23.25">
      <c r="B8" s="498" t="s">
        <v>1615</v>
      </c>
      <c r="C8" s="498"/>
      <c r="D8" s="498"/>
      <c r="E8" s="498"/>
      <c r="F8" s="499" t="s">
        <v>1616</v>
      </c>
      <c r="G8" s="500">
        <f>SUM(G11:G89)+SUM(G93:G115)</f>
        <v>2894000000</v>
      </c>
      <c r="H8" s="501" t="s">
        <v>1617</v>
      </c>
      <c r="I8" s="502">
        <f>SUM(I11:I89)+SUM(I93:I115)</f>
        <v>0</v>
      </c>
      <c r="J8" s="503"/>
      <c r="K8" s="504"/>
      <c r="L8" s="504"/>
      <c r="M8" s="504"/>
    </row>
    <row r="9" spans="2:52" ht="54" customHeight="1">
      <c r="B9" s="506" t="s">
        <v>1618</v>
      </c>
      <c r="C9" s="506" t="s">
        <v>1619</v>
      </c>
      <c r="D9" s="506" t="s">
        <v>1327</v>
      </c>
      <c r="E9" s="506" t="s">
        <v>1620</v>
      </c>
      <c r="F9" s="507" t="s">
        <v>1621</v>
      </c>
      <c r="G9" s="507"/>
      <c r="H9" s="508" t="s">
        <v>1622</v>
      </c>
      <c r="I9" s="508"/>
      <c r="J9" s="509" t="s">
        <v>1623</v>
      </c>
      <c r="K9" s="510"/>
      <c r="L9" s="510"/>
      <c r="M9" s="511"/>
    </row>
    <row r="10" spans="2:52" ht="76.5">
      <c r="B10" s="506"/>
      <c r="C10" s="506"/>
      <c r="D10" s="506"/>
      <c r="E10" s="506"/>
      <c r="F10" s="512" t="s">
        <v>1624</v>
      </c>
      <c r="G10" s="512" t="s">
        <v>1625</v>
      </c>
      <c r="H10" s="513" t="s">
        <v>1624</v>
      </c>
      <c r="I10" s="513" t="s">
        <v>1626</v>
      </c>
      <c r="J10" s="514" t="s">
        <v>1624</v>
      </c>
      <c r="K10" s="514" t="s">
        <v>1627</v>
      </c>
      <c r="L10" s="514" t="s">
        <v>1626</v>
      </c>
      <c r="M10" s="514" t="s">
        <v>1628</v>
      </c>
      <c r="O10" s="517" t="str">
        <f>IF(Estudio_Mercado!AI9="","",Estudio_Mercado!AI9)</f>
        <v/>
      </c>
      <c r="Q10" s="517" t="str">
        <f>IF(Estudio_Mercado!AK9="","",Estudio_Mercado!AK9)</f>
        <v/>
      </c>
    </row>
    <row r="11" spans="2:52" ht="45">
      <c r="B11" s="515">
        <v>1</v>
      </c>
      <c r="C11" s="516" t="str">
        <f>IF(Estudio_Mercado!C10="","",Estudio_Mercado!C10)</f>
        <v>Volantes media carta 100 Unidades</v>
      </c>
      <c r="D11" s="516" t="str">
        <f>IF(Estudio_Mercado!D10="","",Estudio_Mercado!D10)</f>
        <v>Tamaño: media carta, tintas: 4 x 4, full color policromía en propalcote 115 gr, refilados y/o materiales similares, con diseño aprobado por la oficina de prensa del FDLS</v>
      </c>
      <c r="E11" s="515">
        <f>IF(Estudio_Mercado!F10="","",Estudio_Mercado!F10)</f>
        <v>10</v>
      </c>
      <c r="F11" s="517">
        <f>IF(Estudio_Mercado!Z10="","",Estudio_Mercado!Z10)</f>
        <v>131867</v>
      </c>
      <c r="G11" s="517">
        <f>IF(Estudio_Mercado!Z10="","",Estudio_Mercado!AA10)</f>
        <v>1318670</v>
      </c>
      <c r="H11" s="518"/>
      <c r="I11" s="519" t="str">
        <f>IF(H11="","",H11*E11)</f>
        <v/>
      </c>
      <c r="J11" s="520" t="str">
        <f>IF(AND(G11&lt;&gt;0,G11&lt;&gt;""),IF(AND(E11&gt;=G11,G11&lt;&gt;0),"Cumple","No cumple"),"Valor vacío")</f>
        <v>No cumple</v>
      </c>
      <c r="K11" s="521">
        <f>F11-H11</f>
        <v>131867</v>
      </c>
      <c r="L11" s="520" t="str">
        <f>IF(G11&gt;=I11,"Cumple","No cumple")</f>
        <v>No cumple</v>
      </c>
      <c r="M11" s="522" t="e">
        <f>G11-I11</f>
        <v>#VALUE!</v>
      </c>
      <c r="AZ11" s="490">
        <v>1</v>
      </c>
    </row>
    <row r="12" spans="2:52">
      <c r="B12" s="515">
        <v>2</v>
      </c>
      <c r="C12" s="516" t="str">
        <f>IF(Estudio_Mercado!C11="","",Estudio_Mercado!C11)</f>
        <v>Juego Cartas UNO Clásico</v>
      </c>
      <c r="D12" s="516" t="str">
        <f>IF(Estudio_Mercado!D11="","",Estudio_Mercado!D11)</f>
        <v>Juego uno clasico</v>
      </c>
      <c r="E12" s="515">
        <f>IF(Estudio_Mercado!F11="","",Estudio_Mercado!F11)</f>
        <v>1</v>
      </c>
      <c r="F12" s="517">
        <f>IF(Estudio_Mercado!Z11="","",Estudio_Mercado!Z11)</f>
        <v>12633</v>
      </c>
      <c r="G12" s="517">
        <f>IF(Estudio_Mercado!Z11="","",Estudio_Mercado!AA11)</f>
        <v>12633</v>
      </c>
      <c r="H12" s="518"/>
      <c r="I12" s="519" t="str">
        <f t="shared" ref="I12:I75" si="0">IF(H12="","",H12*E12)</f>
        <v/>
      </c>
      <c r="J12" s="520" t="str">
        <f t="shared" ref="J12:J75" si="1">IF(AND(G12&lt;&gt;0,G12&lt;&gt;""),IF(AND(E12&gt;=G12,G12&lt;&gt;0),"Cumple","No cumple"),"Valor vacío")</f>
        <v>No cumple</v>
      </c>
      <c r="K12" s="521">
        <f t="shared" ref="K12:K75" si="2">F12-H12</f>
        <v>12633</v>
      </c>
      <c r="L12" s="520" t="str">
        <f t="shared" ref="L12:L75" si="3">IF(G12&gt;=I12,"Cumple","No cumple")</f>
        <v>No cumple</v>
      </c>
      <c r="M12" s="522" t="e">
        <f t="shared" ref="M12:M75" si="4">G12-I12</f>
        <v>#VALUE!</v>
      </c>
      <c r="AZ12" s="490">
        <v>2</v>
      </c>
    </row>
    <row r="13" spans="2:52" ht="74.25">
      <c r="B13" s="515">
        <v>3</v>
      </c>
      <c r="C13" s="516" t="str">
        <f>IF(Estudio_Mercado!C12="","",Estudio_Mercado!C12)</f>
        <v xml:space="preserve">Juego de escalera clásico </v>
      </c>
      <c r="D13" s="516" t="str">
        <f>IF(Estudio_Mercado!D12="","",Estudio_Mercado!D12)</f>
        <v xml:space="preserve">Juego de mesa didáctico compuesto por un tablero ilustrado y numerado de forma consecutiva, con casillas que incorporan escaleras y elementos de retroceso, permitiendo avanzar o descender según la casilla en la que se ubique cada participante. Debe incluir como mínimo un tablero de juego, fichas de diferentes colores para las personas participantes, uno o dos dados y las instrucciones de uso. </v>
      </c>
      <c r="E13" s="515">
        <f>IF(Estudio_Mercado!F12="","",Estudio_Mercado!F12)</f>
        <v>1</v>
      </c>
      <c r="F13" s="517">
        <f>IF(Estudio_Mercado!Z12="","",Estudio_Mercado!Z12)</f>
        <v>38500</v>
      </c>
      <c r="G13" s="517">
        <f>IF(Estudio_Mercado!Z12="","",Estudio_Mercado!AA12)</f>
        <v>38500</v>
      </c>
      <c r="H13" s="518"/>
      <c r="I13" s="519" t="str">
        <f t="shared" si="0"/>
        <v/>
      </c>
      <c r="J13" s="520" t="str">
        <f t="shared" si="1"/>
        <v>No cumple</v>
      </c>
      <c r="K13" s="521">
        <f t="shared" si="2"/>
        <v>38500</v>
      </c>
      <c r="L13" s="520" t="str">
        <f t="shared" si="3"/>
        <v>No cumple</v>
      </c>
      <c r="M13" s="522" t="e">
        <f t="shared" si="4"/>
        <v>#VALUE!</v>
      </c>
      <c r="AZ13" s="490">
        <v>3</v>
      </c>
    </row>
    <row r="14" spans="2:52" ht="89.25">
      <c r="B14" s="515">
        <v>4</v>
      </c>
      <c r="C14" s="516" t="str">
        <f>IF(Estudio_Mercado!C13="","",Estudio_Mercado!C13)</f>
        <v xml:space="preserve">Juego de parqués clásico </v>
      </c>
      <c r="D14" s="516" t="str">
        <f>IF(Estudio_Mercado!D13="","",Estudio_Mercado!D13)</f>
        <v>Material: Madera, plástico- Dimensiones: 30 x 30 cm o 40 x 40 cm- Diseño: Casillas en forma de cruz con colores diferenciados (rojo, verde, azul, amarillo)- Características: Casillas especiales (seguras, de salida, de meta) fichas Dimensiones: Aproximadamente 2.5 cm de diámetro- Cantidad: 4 fichas por jugador (16 en total)- Colores: Rojo, verde, azul, amarillo, dados Dimensiones: 1.5 x 1.5 x 1.5 cm (tamaño estándar)- Características: Dados con números del 1 al 6</v>
      </c>
      <c r="E14" s="515">
        <f>IF(Estudio_Mercado!F13="","",Estudio_Mercado!F13)</f>
        <v>1</v>
      </c>
      <c r="F14" s="517">
        <f>IF(Estudio_Mercado!Z13="","",Estudio_Mercado!Z13)</f>
        <v>44900</v>
      </c>
      <c r="G14" s="517">
        <f>IF(Estudio_Mercado!Z13="","",Estudio_Mercado!AA13)</f>
        <v>44900</v>
      </c>
      <c r="H14" s="518"/>
      <c r="I14" s="519" t="str">
        <f t="shared" si="0"/>
        <v/>
      </c>
      <c r="J14" s="520" t="str">
        <f t="shared" si="1"/>
        <v>No cumple</v>
      </c>
      <c r="K14" s="521">
        <f t="shared" si="2"/>
        <v>44900</v>
      </c>
      <c r="L14" s="520" t="str">
        <f t="shared" si="3"/>
        <v>No cumple</v>
      </c>
      <c r="M14" s="522" t="e">
        <f t="shared" si="4"/>
        <v>#VALUE!</v>
      </c>
      <c r="AZ14" s="490">
        <v>4</v>
      </c>
    </row>
    <row r="15" spans="2:52" ht="45">
      <c r="B15" s="515">
        <v>5</v>
      </c>
      <c r="C15" s="516" t="str">
        <f>IF(Estudio_Mercado!C14="","",Estudio_Mercado!C14)</f>
        <v xml:space="preserve">Juego de Dominó Clásico </v>
      </c>
      <c r="D15" s="516" t="str">
        <f>IF(Estudio_Mercado!D14="","",Estudio_Mercado!D14)</f>
        <v xml:space="preserve">Dominó profesional caja en madera juego fichas casino grande (broche para giro de fichas) de 28 fichas. Color: Crema. Medidas de la caja: Alto 4,3 cm, fondo 6,5 cm y ancho 18, 5 cm. Medidas de las fichas 4,5 cm x 2,3 cm x 6 mm. </v>
      </c>
      <c r="E15" s="515">
        <f>IF(Estudio_Mercado!F14="","",Estudio_Mercado!F14)</f>
        <v>1</v>
      </c>
      <c r="F15" s="517">
        <f>IF(Estudio_Mercado!Z14="","",Estudio_Mercado!Z14)</f>
        <v>28667</v>
      </c>
      <c r="G15" s="517">
        <f>IF(Estudio_Mercado!Z14="","",Estudio_Mercado!AA14)</f>
        <v>28667</v>
      </c>
      <c r="H15" s="518"/>
      <c r="I15" s="519" t="str">
        <f t="shared" si="0"/>
        <v/>
      </c>
      <c r="J15" s="520" t="str">
        <f t="shared" si="1"/>
        <v>No cumple</v>
      </c>
      <c r="K15" s="521">
        <f t="shared" si="2"/>
        <v>28667</v>
      </c>
      <c r="L15" s="520" t="str">
        <f t="shared" si="3"/>
        <v>No cumple</v>
      </c>
      <c r="M15" s="522" t="e">
        <f t="shared" si="4"/>
        <v>#VALUE!</v>
      </c>
      <c r="AZ15" s="490">
        <v>5</v>
      </c>
    </row>
    <row r="16" spans="2:52" ht="30">
      <c r="B16" s="515">
        <v>6</v>
      </c>
      <c r="C16" s="516" t="str">
        <f>IF(Estudio_Mercado!C15="","",Estudio_Mercado!C15)</f>
        <v xml:space="preserve">libro de dibujo </v>
      </c>
      <c r="D16" s="516" t="str">
        <f>IF(Estudio_Mercado!D15="","",Estudio_Mercado!D15)</f>
        <v xml:space="preserve">Libro de mándalas para colorear, tapa blanda. Altura 22,5 cm, ancho 22,5 cm, peso 260 g. Cantidad de páginas: 80. Idioma: Español.  </v>
      </c>
      <c r="E16" s="515">
        <f>IF(Estudio_Mercado!F15="","",Estudio_Mercado!F15)</f>
        <v>20</v>
      </c>
      <c r="F16" s="517">
        <f>IF(Estudio_Mercado!Z15="","",Estudio_Mercado!Z15)</f>
        <v>27503</v>
      </c>
      <c r="G16" s="517">
        <f>IF(Estudio_Mercado!Z15="","",Estudio_Mercado!AA15)</f>
        <v>550060</v>
      </c>
      <c r="H16" s="518"/>
      <c r="I16" s="519" t="str">
        <f t="shared" si="0"/>
        <v/>
      </c>
      <c r="J16" s="520" t="str">
        <f t="shared" si="1"/>
        <v>No cumple</v>
      </c>
      <c r="K16" s="521">
        <f t="shared" si="2"/>
        <v>27503</v>
      </c>
      <c r="L16" s="520" t="str">
        <f t="shared" si="3"/>
        <v>No cumple</v>
      </c>
      <c r="M16" s="522" t="e">
        <f t="shared" si="4"/>
        <v>#VALUE!</v>
      </c>
      <c r="AZ16" s="490">
        <v>6</v>
      </c>
    </row>
    <row r="17" spans="2:52" ht="60">
      <c r="B17" s="515">
        <v>7</v>
      </c>
      <c r="C17" s="516" t="str">
        <f>IF(Estudio_Mercado!C16="","",Estudio_Mercado!C16)</f>
        <v xml:space="preserve">Marcador permanente caja x 10 </v>
      </c>
      <c r="D17" s="516" t="str">
        <f>IF(Estudio_Mercado!D16="","",Estudio_Mercado!D16)</f>
        <v>Caja de 10 marcadores permanentes de colores variados con tinta de secado rápido, resistente al agua y a la decoloración. Punta de fibra de alta resistencia (redonda o biselada) capaz de marcar sobre múltiples superficies como papel, cartón, metal, plástico y vidrio</v>
      </c>
      <c r="E17" s="515">
        <f>IF(Estudio_Mercado!F16="","",Estudio_Mercado!F16)</f>
        <v>3</v>
      </c>
      <c r="F17" s="517">
        <f>IF(Estudio_Mercado!Z16="","",Estudio_Mercado!Z16)</f>
        <v>13966</v>
      </c>
      <c r="G17" s="517">
        <f>IF(Estudio_Mercado!Z16="","",Estudio_Mercado!AA16)</f>
        <v>41898</v>
      </c>
      <c r="H17" s="518"/>
      <c r="I17" s="519" t="str">
        <f t="shared" si="0"/>
        <v/>
      </c>
      <c r="J17" s="520" t="str">
        <f t="shared" si="1"/>
        <v>No cumple</v>
      </c>
      <c r="K17" s="521">
        <f t="shared" si="2"/>
        <v>13966</v>
      </c>
      <c r="L17" s="520" t="str">
        <f t="shared" si="3"/>
        <v>No cumple</v>
      </c>
      <c r="M17" s="522" t="e">
        <f t="shared" si="4"/>
        <v>#VALUE!</v>
      </c>
      <c r="AZ17" s="490">
        <v>7</v>
      </c>
    </row>
    <row r="18" spans="2:52" ht="45">
      <c r="B18" s="515">
        <v>8</v>
      </c>
      <c r="C18" s="516" t="str">
        <f>IF(Estudio_Mercado!C17="","",Estudio_Mercado!C17)</f>
        <v>Paquete de colores x12</v>
      </c>
      <c r="D18" s="516" t="str">
        <f>IF(Estudio_Mercado!D17="","",Estudio_Mercado!D17)</f>
        <v xml:space="preserve">En formato "Jumbo" (gruesos) o de diseño triangular. Estas formas evitan que rueden por la mesa y facilitan un agarre palmar cómodo sin exigir motricidad fina o "pinza" perfecta. </v>
      </c>
      <c r="E18" s="515">
        <f>IF(Estudio_Mercado!F17="","",Estudio_Mercado!F17)</f>
        <v>3</v>
      </c>
      <c r="F18" s="517">
        <f>IF(Estudio_Mercado!Z17="","",Estudio_Mercado!Z17)</f>
        <v>27730</v>
      </c>
      <c r="G18" s="517">
        <f>IF(Estudio_Mercado!Z17="","",Estudio_Mercado!AA17)</f>
        <v>83190</v>
      </c>
      <c r="H18" s="518"/>
      <c r="I18" s="519" t="str">
        <f t="shared" si="0"/>
        <v/>
      </c>
      <c r="J18" s="520" t="str">
        <f t="shared" si="1"/>
        <v>No cumple</v>
      </c>
      <c r="K18" s="521">
        <f t="shared" si="2"/>
        <v>27730</v>
      </c>
      <c r="L18" s="520" t="str">
        <f t="shared" si="3"/>
        <v>No cumple</v>
      </c>
      <c r="M18" s="522" t="e">
        <f t="shared" si="4"/>
        <v>#VALUE!</v>
      </c>
      <c r="AZ18" s="490">
        <v>8</v>
      </c>
    </row>
    <row r="19" spans="2:52" ht="30">
      <c r="B19" s="515">
        <v>9</v>
      </c>
      <c r="C19" s="516" t="str">
        <f>IF(Estudio_Mercado!C18="","",Estudio_Mercado!C18)</f>
        <v>Pintura acrílica  de colores variados por  500 ml</v>
      </c>
      <c r="D19" s="516" t="str">
        <f>IF(Estudio_Mercado!D18="","",Estudio_Mercado!D18)</f>
        <v>Pintura acrílica 500 ml: Presentación en frasco mediano con tapa de rosca, consistencia espesa y alta concentración de pigmento, colores variados</v>
      </c>
      <c r="E19" s="515">
        <f>IF(Estudio_Mercado!F18="","",Estudio_Mercado!F18)</f>
        <v>8</v>
      </c>
      <c r="F19" s="517">
        <f>IF(Estudio_Mercado!Z18="","",Estudio_Mercado!Z18)</f>
        <v>33558</v>
      </c>
      <c r="G19" s="517">
        <f>IF(Estudio_Mercado!Z18="","",Estudio_Mercado!AA18)</f>
        <v>268464</v>
      </c>
      <c r="H19" s="518"/>
      <c r="I19" s="519" t="str">
        <f t="shared" si="0"/>
        <v/>
      </c>
      <c r="J19" s="520" t="str">
        <f t="shared" si="1"/>
        <v>No cumple</v>
      </c>
      <c r="K19" s="521">
        <f t="shared" si="2"/>
        <v>33558</v>
      </c>
      <c r="L19" s="520" t="str">
        <f t="shared" si="3"/>
        <v>No cumple</v>
      </c>
      <c r="M19" s="522" t="e">
        <f t="shared" si="4"/>
        <v>#VALUE!</v>
      </c>
      <c r="AZ19" s="490">
        <v>9</v>
      </c>
    </row>
    <row r="20" spans="2:52" ht="45">
      <c r="B20" s="515">
        <v>10</v>
      </c>
      <c r="C20" s="516" t="str">
        <f>IF(Estudio_Mercado!C19="","",Estudio_Mercado!C19)</f>
        <v>Kit de Pinceles Mixtos (Set x 10 unidades)</v>
      </c>
      <c r="D20" s="516" t="str">
        <f>IF(Estudio_Mercado!D19="","",Estudio_Mercado!D19)</f>
        <v>Set de 10 pinceles de diferentes formas (redondos, planos y de detalle) y tamaños variados. Diseñados con cerdas sintéticas suaves y resistentes, mangos de mader,a para el uso de témperas, acrílicos y vinilos.</v>
      </c>
      <c r="E20" s="515">
        <f>IF(Estudio_Mercado!F19="","",Estudio_Mercado!F19)</f>
        <v>3</v>
      </c>
      <c r="F20" s="517">
        <f>IF(Estudio_Mercado!Z19="","",Estudio_Mercado!Z19)</f>
        <v>19686</v>
      </c>
      <c r="G20" s="517">
        <f>IF(Estudio_Mercado!Z19="","",Estudio_Mercado!AA19)</f>
        <v>59058</v>
      </c>
      <c r="H20" s="518"/>
      <c r="I20" s="519" t="str">
        <f t="shared" si="0"/>
        <v/>
      </c>
      <c r="J20" s="520" t="str">
        <f t="shared" si="1"/>
        <v>No cumple</v>
      </c>
      <c r="K20" s="521">
        <f t="shared" si="2"/>
        <v>19686</v>
      </c>
      <c r="L20" s="520" t="str">
        <f t="shared" si="3"/>
        <v>No cumple</v>
      </c>
      <c r="M20" s="522" t="e">
        <f t="shared" si="4"/>
        <v>#VALUE!</v>
      </c>
      <c r="AZ20" s="490">
        <v>10</v>
      </c>
    </row>
    <row r="21" spans="2:52" ht="45">
      <c r="B21" s="515">
        <v>11</v>
      </c>
      <c r="C21" s="516" t="str">
        <f>IF(Estudio_Mercado!C20="","",Estudio_Mercado!C20)</f>
        <v>Pinceles finger max</v>
      </c>
      <c r="D21" s="516" t="str">
        <f>IF(Estudio_Mercado!D20="","",Estudio_Mercado!D20)</f>
        <v>Elemento de motricidad fina diseñado para incentivar la pinza y facilitar el proceso de dibujo y trazos.  Ideal para estimulación temprana y expresión artística inicial. Elaborado en caucho PVC resistente.Tallas: Small y Medium.</v>
      </c>
      <c r="E21" s="515">
        <f>IF(Estudio_Mercado!F20="","",Estudio_Mercado!F20)</f>
        <v>5</v>
      </c>
      <c r="F21" s="517">
        <f>IF(Estudio_Mercado!Z20="","",Estudio_Mercado!Z20)</f>
        <v>15963</v>
      </c>
      <c r="G21" s="517">
        <f>IF(Estudio_Mercado!Z20="","",Estudio_Mercado!AA20)</f>
        <v>79815</v>
      </c>
      <c r="H21" s="518"/>
      <c r="I21" s="519" t="str">
        <f t="shared" si="0"/>
        <v/>
      </c>
      <c r="J21" s="520" t="str">
        <f t="shared" si="1"/>
        <v>No cumple</v>
      </c>
      <c r="K21" s="521">
        <f t="shared" si="2"/>
        <v>15963</v>
      </c>
      <c r="L21" s="520" t="str">
        <f t="shared" si="3"/>
        <v>No cumple</v>
      </c>
      <c r="M21" s="522" t="e">
        <f t="shared" si="4"/>
        <v>#VALUE!</v>
      </c>
      <c r="AZ21" s="490">
        <v>11</v>
      </c>
    </row>
    <row r="22" spans="2:52">
      <c r="B22" s="515">
        <v>12</v>
      </c>
      <c r="C22" s="516" t="str">
        <f>IF(Estudio_Mercado!C21="","",Estudio_Mercado!C21)</f>
        <v>Resma hoja blanca tamaño carta</v>
      </c>
      <c r="D22" s="516" t="str">
        <f>IF(Estudio_Mercado!D21="","",Estudio_Mercado!D21)</f>
        <v>Resma de papel bond tamaño carta: Paquete de 500 hojas de 75 gr</v>
      </c>
      <c r="E22" s="515">
        <f>IF(Estudio_Mercado!F21="","",Estudio_Mercado!F21)</f>
        <v>1</v>
      </c>
      <c r="F22" s="517">
        <f>IF(Estudio_Mercado!Z21="","",Estudio_Mercado!Z21)</f>
        <v>16147</v>
      </c>
      <c r="G22" s="517">
        <f>IF(Estudio_Mercado!Z21="","",Estudio_Mercado!AA21)</f>
        <v>16147</v>
      </c>
      <c r="H22" s="518"/>
      <c r="I22" s="519" t="str">
        <f t="shared" si="0"/>
        <v/>
      </c>
      <c r="J22" s="520" t="str">
        <f t="shared" si="1"/>
        <v>No cumple</v>
      </c>
      <c r="K22" s="521">
        <f t="shared" si="2"/>
        <v>16147</v>
      </c>
      <c r="L22" s="520" t="str">
        <f t="shared" si="3"/>
        <v>No cumple</v>
      </c>
      <c r="M22" s="522" t="e">
        <f t="shared" si="4"/>
        <v>#VALUE!</v>
      </c>
      <c r="AZ22" s="490">
        <v>12</v>
      </c>
    </row>
    <row r="23" spans="2:52" ht="104.25">
      <c r="B23" s="515">
        <v>13</v>
      </c>
      <c r="C23" s="516" t="str">
        <f>IF(Estudio_Mercado!C22="","",Estudio_Mercado!C22)</f>
        <v>Agendas con esfero con logos institucionales</v>
      </c>
      <c r="D23" s="516" t="str">
        <f>IF(Estudio_Mercado!D22="","",Estudio_Mercado!D22)</f>
        <v>Agenda:  Tamaño cuaderno (21,5 x 14 cm), 80 hojas internas  papel bond 76 gms impresas a una tinta (1x2)  hojas cuadriculadas, tapa dura, full color, plastificada, anillo doble. Con Logos de la Alcaldía aprobados por la oficina de prensa
Esfero: Bolígrafo plástico tinta negra Medidas: 14.5 cm, con sistema retráctil.</v>
      </c>
      <c r="E23" s="515">
        <f>IF(Estudio_Mercado!F22="","",Estudio_Mercado!F22)</f>
        <v>50</v>
      </c>
      <c r="F23" s="517">
        <f>IF(Estudio_Mercado!Z22="","",Estudio_Mercado!Z22)</f>
        <v>33540</v>
      </c>
      <c r="G23" s="517">
        <f>IF(Estudio_Mercado!Z22="","",Estudio_Mercado!AA22)</f>
        <v>1677000</v>
      </c>
      <c r="H23" s="518"/>
      <c r="I23" s="519" t="str">
        <f t="shared" si="0"/>
        <v/>
      </c>
      <c r="J23" s="520" t="str">
        <f t="shared" si="1"/>
        <v>No cumple</v>
      </c>
      <c r="K23" s="521">
        <f t="shared" si="2"/>
        <v>33540</v>
      </c>
      <c r="L23" s="520" t="str">
        <f t="shared" si="3"/>
        <v>No cumple</v>
      </c>
      <c r="M23" s="522" t="e">
        <f t="shared" si="4"/>
        <v>#VALUE!</v>
      </c>
      <c r="AZ23" s="490">
        <v>13</v>
      </c>
    </row>
    <row r="24" spans="2:52" ht="134.25">
      <c r="B24" s="515">
        <v>14</v>
      </c>
      <c r="C24" s="516" t="str">
        <f>IF(Estudio_Mercado!C23="","",Estudio_Mercado!C23)</f>
        <v>Servicio de Interpretación (Accesibilidad Universal)</v>
      </c>
      <c r="D24" s="516" t="str">
        <f>IF(Estudio_Mercado!D23="","",Estudio_Mercado!D23)</f>
        <v xml:space="preserve">Con el objetivo de garantizar la accesibilidad universal y el derecho a la información de la población con discapacidad auditiva y sordoceguera, el contratista deberá prever la contratación de servicios profesionales de interpretación. 
Para las actividades presenciales, se exige la vinculación de un dúo de intérpretes de Lengua de Señas Colombiana (LSC) y un dúo de guías-intérpretes para personas sordociegas. La ejecución del servicio se realizará mediante relevos técnicos de veinticinco (25) minutos entre profesionales para asegurar la calidad de la comunicación durante jornadas de tres (3) a cuatro (4) horas (Cuando se requiera). </v>
      </c>
      <c r="E24" s="515">
        <f>IF(Estudio_Mercado!F23="","",Estudio_Mercado!F23)</f>
        <v>16</v>
      </c>
      <c r="F24" s="517">
        <f>IF(Estudio_Mercado!Z23="","",Estudio_Mercado!Z23)</f>
        <v>479967</v>
      </c>
      <c r="G24" s="517">
        <f>IF(Estudio_Mercado!Z23="","",Estudio_Mercado!AA23)</f>
        <v>7679472</v>
      </c>
      <c r="H24" s="518"/>
      <c r="I24" s="519" t="str">
        <f t="shared" si="0"/>
        <v/>
      </c>
      <c r="J24" s="520" t="str">
        <f t="shared" si="1"/>
        <v>No cumple</v>
      </c>
      <c r="K24" s="521">
        <f t="shared" si="2"/>
        <v>479967</v>
      </c>
      <c r="L24" s="520" t="str">
        <f t="shared" si="3"/>
        <v>No cumple</v>
      </c>
      <c r="M24" s="522" t="e">
        <f t="shared" si="4"/>
        <v>#VALUE!</v>
      </c>
      <c r="AZ24" s="490">
        <v>14</v>
      </c>
    </row>
    <row r="25" spans="2:52" ht="253.5">
      <c r="B25" s="515">
        <v>15</v>
      </c>
      <c r="C25" s="516" t="str">
        <f>IF(Estudio_Mercado!C24="","",Estudio_Mercado!C24)</f>
        <v xml:space="preserve">CARTILLA CUÍA IA PARA EMPRENDEDORAS </v>
      </c>
      <c r="D25" s="516" t="str">
        <f>IF(Estudio_Mercado!D24="","",Estudio_Mercado!D24)</f>
        <v>"Impresión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v>
      </c>
      <c r="E25" s="515">
        <f>IF(Estudio_Mercado!F24="","",Estudio_Mercado!F24)</f>
        <v>55</v>
      </c>
      <c r="F25" s="517">
        <f>IF(Estudio_Mercado!Z24="","",Estudio_Mercado!Z24)</f>
        <v>38881</v>
      </c>
      <c r="G25" s="517">
        <f>IF(Estudio_Mercado!Z24="","",Estudio_Mercado!AA24)</f>
        <v>2138455</v>
      </c>
      <c r="H25" s="518"/>
      <c r="I25" s="519" t="str">
        <f t="shared" si="0"/>
        <v/>
      </c>
      <c r="J25" s="520" t="str">
        <f t="shared" si="1"/>
        <v>No cumple</v>
      </c>
      <c r="K25" s="521">
        <f t="shared" si="2"/>
        <v>38881</v>
      </c>
      <c r="L25" s="520" t="str">
        <f t="shared" si="3"/>
        <v>No cumple</v>
      </c>
      <c r="M25" s="522" t="e">
        <f t="shared" si="4"/>
        <v>#VALUE!</v>
      </c>
      <c r="AZ25" s="490">
        <v>15</v>
      </c>
    </row>
    <row r="26" spans="2:52" ht="179.25">
      <c r="B26" s="515">
        <v>16</v>
      </c>
      <c r="C26" s="516" t="str">
        <f>IF(Estudio_Mercado!C25="","",Estudio_Mercado!C25)</f>
        <v>Servicio de Licencia (IA)</v>
      </c>
      <c r="D26" s="516" t="str">
        <f>IF(Estudio_Mercado!D25="","",Estudio_Mercado!D25)</f>
        <v>Una plataforma avanzada y unificada de inteligencia artificial que se integra de manera segura en tu ecosistema corporativo (incluyendo Google Workspace, bases de datos internas y aplicaciones de terceros) garantizando mediante controles de grado empresarial. Esta suscripción cubre el acceso por tres (3) meses a modelos multimodales más potentes, almacenamiento ampliado y herramientas de gobernanza administrativa, entregando un entorno seguro para que todo tu equipo colabore. Con esta licencia, los usuarios pueden automatizar flujos de trabajo complejos, resumir y analizar grandes volúmenes de datos cruzados, generar textos, imágenes y presentaciones directamente en aplicaciones como Gmail, Docs, Slides o Sheets, e incluso construir sus propios agentes de IA personalizados sin necesidad de saber programar, centralizando así la operatividad de toda la compañía para resolver problemas de negocio a gran escala.</v>
      </c>
      <c r="E26" s="515">
        <f>IF(Estudio_Mercado!F25="","",Estudio_Mercado!F25)</f>
        <v>150</v>
      </c>
      <c r="F26" s="517">
        <f>IF(Estudio_Mercado!Z25="","",Estudio_Mercado!Z25)</f>
        <v>89933</v>
      </c>
      <c r="G26" s="517">
        <f>IF(Estudio_Mercado!Z25="","",Estudio_Mercado!AA25)</f>
        <v>13489950</v>
      </c>
      <c r="H26" s="518"/>
      <c r="I26" s="519" t="str">
        <f t="shared" si="0"/>
        <v/>
      </c>
      <c r="J26" s="520" t="str">
        <f t="shared" si="1"/>
        <v>No cumple</v>
      </c>
      <c r="K26" s="521">
        <f t="shared" si="2"/>
        <v>89933</v>
      </c>
      <c r="L26" s="520" t="str">
        <f t="shared" si="3"/>
        <v>No cumple</v>
      </c>
      <c r="M26" s="522" t="e">
        <f t="shared" si="4"/>
        <v>#VALUE!</v>
      </c>
      <c r="AZ26" s="490">
        <v>16</v>
      </c>
    </row>
    <row r="27" spans="2:52" ht="74.25">
      <c r="B27" s="515">
        <v>17</v>
      </c>
      <c r="C27" s="516" t="str">
        <f>IF(Estudio_Mercado!C26="","",Estudio_Mercado!C26)</f>
        <v>Refrigerio saludable tipo 1</v>
      </c>
      <c r="D27" s="516" t="str">
        <f>IF(Estudio_Mercado!D26="","",Estudio_Mercado!D26)</f>
        <v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v>
      </c>
      <c r="E27" s="515">
        <f>IF(Estudio_Mercado!F26="","",Estudio_Mercado!F26)</f>
        <v>500</v>
      </c>
      <c r="F27" s="517">
        <f>IF(Estudio_Mercado!Z26="","",Estudio_Mercado!Z26)</f>
        <v>31877</v>
      </c>
      <c r="G27" s="517">
        <f>IF(Estudio_Mercado!Z26="","",Estudio_Mercado!AA26)</f>
        <v>15938500</v>
      </c>
      <c r="H27" s="518"/>
      <c r="I27" s="519" t="str">
        <f t="shared" si="0"/>
        <v/>
      </c>
      <c r="J27" s="520" t="str">
        <f t="shared" si="1"/>
        <v>No cumple</v>
      </c>
      <c r="K27" s="521">
        <f t="shared" si="2"/>
        <v>31877</v>
      </c>
      <c r="L27" s="520" t="str">
        <f t="shared" si="3"/>
        <v>No cumple</v>
      </c>
      <c r="M27" s="522" t="e">
        <f t="shared" si="4"/>
        <v>#VALUE!</v>
      </c>
      <c r="AZ27" s="490">
        <v>17</v>
      </c>
    </row>
    <row r="28" spans="2:52" ht="60">
      <c r="B28" s="515">
        <v>18</v>
      </c>
      <c r="C28" s="516" t="str">
        <f>IF(Estudio_Mercado!C27="","",Estudio_Mercado!C27)</f>
        <v>Salón - Espacio Apto para 50 personas (jornada completa más equipos audiovisuales)</v>
      </c>
      <c r="D28" s="516" t="str">
        <f>IF(Estudio_Mercado!D27="","",Estudio_Mercado!D27)</f>
        <v>Espacio físico para 50 personas con baño, sillas y mesas, ubicado en la localidad de Suba, con disponibilidad de espacio exterior para desarrollo de actividades
Dotado con equipo de computo, video beam y sonido
Jornada de 8 horas</v>
      </c>
      <c r="E28" s="515">
        <f>IF(Estudio_Mercado!F27="","",Estudio_Mercado!F27)</f>
        <v>10</v>
      </c>
      <c r="F28" s="517">
        <f>IF(Estudio_Mercado!Z27="","",Estudio_Mercado!Z27)</f>
        <v>395001</v>
      </c>
      <c r="G28" s="517">
        <f>IF(Estudio_Mercado!Z27="","",Estudio_Mercado!AA27)</f>
        <v>3950010</v>
      </c>
      <c r="H28" s="518"/>
      <c r="I28" s="519" t="str">
        <f t="shared" si="0"/>
        <v/>
      </c>
      <c r="J28" s="520" t="str">
        <f t="shared" si="1"/>
        <v>No cumple</v>
      </c>
      <c r="K28" s="521">
        <f t="shared" si="2"/>
        <v>395001</v>
      </c>
      <c r="L28" s="520" t="str">
        <f t="shared" si="3"/>
        <v>No cumple</v>
      </c>
      <c r="M28" s="522" t="e">
        <f t="shared" si="4"/>
        <v>#VALUE!</v>
      </c>
      <c r="AZ28" s="490">
        <v>18</v>
      </c>
    </row>
    <row r="29" spans="2:52" ht="134.25">
      <c r="B29" s="515">
        <v>19</v>
      </c>
      <c r="C29" s="516" t="str">
        <f>IF(Estudio_Mercado!C28="","",Estudio_Mercado!C28)</f>
        <v>Auditorio para 100 personas jornada completa</v>
      </c>
      <c r="D29" s="516" t="str">
        <f>IF(Estudio_Mercado!D28="","",Estudio_Mercado!D28)</f>
        <v>Alquiler salón de conferencias
Jornada completa
Capacidad para 100 personas. 
- sillas tapizadas
- Sistema de sonido, computador portátil y video beam
- 1 tablero
- Baños equipados (Jabón, Papel y Papeleras)
-Accesos para personas con discapacidad
-Servicio de Vigilancia y aseo</v>
      </c>
      <c r="E29" s="515">
        <f>IF(Estudio_Mercado!F28="","",Estudio_Mercado!F28)</f>
        <v>1</v>
      </c>
      <c r="F29" s="517">
        <f>IF(Estudio_Mercado!Z28="","",Estudio_Mercado!Z28)</f>
        <v>2479128</v>
      </c>
      <c r="G29" s="517">
        <f>IF(Estudio_Mercado!Z28="","",Estudio_Mercado!AA28)</f>
        <v>2479128</v>
      </c>
      <c r="H29" s="518"/>
      <c r="I29" s="519" t="str">
        <f t="shared" si="0"/>
        <v/>
      </c>
      <c r="J29" s="520" t="str">
        <f t="shared" si="1"/>
        <v>No cumple</v>
      </c>
      <c r="K29" s="521">
        <f t="shared" si="2"/>
        <v>2479128</v>
      </c>
      <c r="L29" s="520" t="str">
        <f t="shared" si="3"/>
        <v>No cumple</v>
      </c>
      <c r="M29" s="522" t="e">
        <f t="shared" si="4"/>
        <v>#VALUE!</v>
      </c>
      <c r="AZ29" s="490">
        <v>19</v>
      </c>
    </row>
    <row r="30" spans="2:52" ht="45">
      <c r="B30" s="515">
        <v>20</v>
      </c>
      <c r="C30" s="516" t="str">
        <f>IF(Estudio_Mercado!C29="","",Estudio_Mercado!C29)</f>
        <v>Estación de café tipo 1</v>
      </c>
      <c r="D30" s="516" t="str">
        <f>IF(Estudio_Mercado!D29="","",Estudio_Mercado!D29)</f>
        <v>Servicio de cafetería para 50 personas (tinto, aromática y agua): Operario + presentación mesa + vasos de cartón bebida caliente 4 oz. + mezclador + azúcar + crema para café. Duración del evento aprox. 6 horas. Transporte incluido</v>
      </c>
      <c r="E30" s="515">
        <f>IF(Estudio_Mercado!F29="","",Estudio_Mercado!F29)</f>
        <v>1</v>
      </c>
      <c r="F30" s="517">
        <f>IF(Estudio_Mercado!Z29="","",Estudio_Mercado!Z29)</f>
        <v>470323</v>
      </c>
      <c r="G30" s="517">
        <f>IF(Estudio_Mercado!Z29="","",Estudio_Mercado!AA29)</f>
        <v>470323</v>
      </c>
      <c r="H30" s="518"/>
      <c r="I30" s="519" t="str">
        <f t="shared" si="0"/>
        <v/>
      </c>
      <c r="J30" s="520" t="str">
        <f t="shared" si="1"/>
        <v>No cumple</v>
      </c>
      <c r="K30" s="521">
        <f t="shared" si="2"/>
        <v>470323</v>
      </c>
      <c r="L30" s="520" t="str">
        <f t="shared" si="3"/>
        <v>No cumple</v>
      </c>
      <c r="M30" s="522" t="e">
        <f t="shared" si="4"/>
        <v>#VALUE!</v>
      </c>
      <c r="AZ30" s="490">
        <v>20</v>
      </c>
    </row>
    <row r="31" spans="2:52" ht="223.5">
      <c r="B31" s="515">
        <v>21</v>
      </c>
      <c r="C31" s="516" t="str">
        <f>IF(Estudio_Mercado!C30="","",Estudio_Mercado!C30)</f>
        <v>Servicio de diplomado</v>
      </c>
      <c r="D31" s="516" t="str">
        <f>IF(Estudio_Mercado!D30="","",Estudio_Mercado!D30)</f>
        <v xml:space="preserve">Programa de formación orientado al fortalecimiento de conocimientos y capacidades para impulsar emprendimientos en diferentes temas, algunos de ellos pueden ser:  Educación Financiera, Marketing Digital con IA y Formalización Empresarial. 
El operador debe garantizar que la IES cuente con docentes capacitados para dividir a las 50 mujeres en dos (2) grupos de atención especializada según la madurez de sus negocios (etapa inicial y consolidados), adaptando el nivel técnico de los talleres.
El operador y la IES deben respetar la distribución logística y académica de 32 sesiones, totalizando exactamente cien (100) horas de formación en la medida de lo posible, entendiendo que pueden darse alternativas diferentes para evitar la deserción. 
Cuando se dé una modalidad virtual, el operador y la IES deben garantizar el servicio de Plataforma LMS (Nuevo), el cuál es un entorno virtual de aprendizaje para alojar las grabaciones, foros y material de estudio asincrónico del diplomado. </v>
      </c>
      <c r="E31" s="515">
        <f>IF(Estudio_Mercado!F30="","",Estudio_Mercado!F30)</f>
        <v>50</v>
      </c>
      <c r="F31" s="517">
        <f>IF(Estudio_Mercado!Z30="","",Estudio_Mercado!Z30)</f>
        <v>3497393</v>
      </c>
      <c r="G31" s="517">
        <f>IF(Estudio_Mercado!Z30="","",Estudio_Mercado!AA30)</f>
        <v>174869650</v>
      </c>
      <c r="H31" s="518"/>
      <c r="I31" s="519" t="str">
        <f t="shared" si="0"/>
        <v/>
      </c>
      <c r="J31" s="520" t="str">
        <f t="shared" si="1"/>
        <v>No cumple</v>
      </c>
      <c r="K31" s="521">
        <f t="shared" si="2"/>
        <v>3497393</v>
      </c>
      <c r="L31" s="520" t="str">
        <f t="shared" si="3"/>
        <v>No cumple</v>
      </c>
      <c r="M31" s="522" t="e">
        <f t="shared" si="4"/>
        <v>#VALUE!</v>
      </c>
    </row>
    <row r="32" spans="2:52" ht="74.25">
      <c r="B32" s="515">
        <v>22</v>
      </c>
      <c r="C32" s="516" t="str">
        <f>IF(Estudio_Mercado!C31="","",Estudio_Mercado!C31)</f>
        <v xml:space="preserve">BOLSA LOGÍSTICA Y DE SERVICIOS VIAJE COMERCIAL </v>
      </c>
      <c r="D32" s="516" t="str">
        <f>IF(Estudio_Mercado!D31="","",Estudio_Mercado!D31)</f>
        <v xml:space="preserve">Se dispondrá de una (1) bolsa de viaje destinada a garantizar la participación de cincuenta (50) mujeres y del equipo del contratista, la cual cubrirá los elementos y servicios requeridos para el desarrollo de la actividad, de acuerdo con las necesidades identificadas y tomando como base los precios de referencia establecidos en la oferta económica correspondiente. </v>
      </c>
      <c r="E32" s="515">
        <f>IF(Estudio_Mercado!F31="","",Estudio_Mercado!F31)</f>
        <v>50</v>
      </c>
      <c r="F32" s="517" t="str">
        <f>IF(Estudio_Mercado!Z31="","",Estudio_Mercado!Z31)</f>
        <v/>
      </c>
      <c r="G32" s="517">
        <v>168794040</v>
      </c>
      <c r="H32" s="518"/>
      <c r="I32" s="519" t="str">
        <f t="shared" si="0"/>
        <v/>
      </c>
      <c r="J32" s="520" t="str">
        <f t="shared" si="1"/>
        <v>No cumple</v>
      </c>
      <c r="K32" s="521" t="e">
        <f t="shared" si="2"/>
        <v>#VALUE!</v>
      </c>
      <c r="L32" s="520" t="str">
        <f t="shared" si="3"/>
        <v>No cumple</v>
      </c>
      <c r="M32" s="522" t="e">
        <f t="shared" si="4"/>
        <v>#VALUE!</v>
      </c>
    </row>
    <row r="33" spans="2:13" ht="45">
      <c r="B33" s="515">
        <v>23</v>
      </c>
      <c r="C33" s="516" t="str">
        <f>IF(Estudio_Mercado!C32="","",Estudio_Mercado!C32)</f>
        <v>Volantes media carta 100 Unidades</v>
      </c>
      <c r="D33" s="516" t="str">
        <f>IF(Estudio_Mercado!D32="","",Estudio_Mercado!D32)</f>
        <v>Tamaño: media carta, tintas: 4 x 4, full color policromía en propalcote 115 gr, refilados y/o materiales similares, con diseño aprobado por la oficina de prensa del FDLS</v>
      </c>
      <c r="E33" s="515">
        <f>IF(Estudio_Mercado!F32="","",Estudio_Mercado!F32)</f>
        <v>150</v>
      </c>
      <c r="F33" s="517">
        <f>IF(Estudio_Mercado!Z32="","",Estudio_Mercado!Z32)</f>
        <v>131867</v>
      </c>
      <c r="G33" s="517">
        <f>IF(Estudio_Mercado!Z32="","",Estudio_Mercado!AA32)</f>
        <v>19780050</v>
      </c>
      <c r="H33" s="518"/>
      <c r="I33" s="519" t="str">
        <f t="shared" si="0"/>
        <v/>
      </c>
      <c r="J33" s="520" t="str">
        <f t="shared" si="1"/>
        <v>No cumple</v>
      </c>
      <c r="K33" s="521">
        <f t="shared" si="2"/>
        <v>131867</v>
      </c>
      <c r="L33" s="520" t="str">
        <f t="shared" si="3"/>
        <v>No cumple</v>
      </c>
      <c r="M33" s="522" t="e">
        <f t="shared" si="4"/>
        <v>#VALUE!</v>
      </c>
    </row>
    <row r="34" spans="2:13" ht="179.25">
      <c r="B34" s="515">
        <v>24</v>
      </c>
      <c r="C34" s="516" t="str">
        <f>IF(Estudio_Mercado!C33="","",Estudio_Mercado!C33)</f>
        <v xml:space="preserve">BOLSA PRESUPUESTAL PARA LA IMPLEMENTACIÓN DE ESTRATEGIAS PUBLICITARIAS Y DIGITALES </v>
      </c>
      <c r="D34" s="516" t="str">
        <f>IF(Estudio_Mercado!D33="","",Estudio_Mercado!D33)</f>
        <v xml:space="preserve">Se dispondrá de una (1) bolsa para producción de contenidos; piezas gráficas; fotografías y recursos audiovisuales; material promocional; herramientas tecnológicas requeridas para la estrategia; espacios publicitarios; pauta digital; plataformas o servicios de difusión y demás recursos directamente asociados a la estrategia comercial. 
Nota: Su estructuración responde a que cada emprendimiento tiene un producto o servicio diferente, públicos objetivo-particulares, niveles distintos de presencia digital y necesidades específicas de fortalecimiento comercial. Por lo anterior, no todas las mujeres requerirán las mismas piezas, plataformas o canales de difusión. La estrategia se definirá a partir de un diagnóstico individual que permita establecer qué red social, canal digital o medio comercial requiere fortalecer cada emprendimiento, qué tipo de contenido necesita y cuál debe ser la intensidad o alcance de la acción publicitaria. </v>
      </c>
      <c r="E34" s="515">
        <f>IF(Estudio_Mercado!F33="","",Estudio_Mercado!F33)</f>
        <v>1</v>
      </c>
      <c r="F34" s="517" t="str">
        <f>IF(Estudio_Mercado!Z33="","",Estudio_Mercado!Z33)</f>
        <v/>
      </c>
      <c r="G34" s="517">
        <f>100301214+42453000</f>
        <v>142754214</v>
      </c>
      <c r="H34" s="518"/>
      <c r="I34" s="519" t="str">
        <f t="shared" si="0"/>
        <v/>
      </c>
      <c r="J34" s="520" t="str">
        <f t="shared" si="1"/>
        <v>No cumple</v>
      </c>
      <c r="K34" s="521" t="e">
        <f t="shared" si="2"/>
        <v>#VALUE!</v>
      </c>
      <c r="L34" s="520" t="str">
        <f t="shared" si="3"/>
        <v>No cumple</v>
      </c>
      <c r="M34" s="522" t="e">
        <f t="shared" si="4"/>
        <v>#VALUE!</v>
      </c>
    </row>
    <row r="35" spans="2:13" ht="60">
      <c r="B35" s="515">
        <v>25</v>
      </c>
      <c r="C35" s="516" t="str">
        <f>IF(Estudio_Mercado!C34="","",Estudio_Mercado!C34)</f>
        <v>Salón - Espacio Apto para 50 personas (jornada completa más equipos audiovisuales)</v>
      </c>
      <c r="D35" s="516" t="str">
        <f>IF(Estudio_Mercado!D34="","",Estudio_Mercado!D34)</f>
        <v>Espacio físico para 50 personas con baño, sillas y mesas, ubicado en la localidad de Suba, con disponibilidad de espacio exterior para desarrollo de actividades
Dotado con equipo de computo, video beam y sonido
Jornada de 8 horas</v>
      </c>
      <c r="E35" s="515">
        <f>IF(Estudio_Mercado!F34="","",Estudio_Mercado!F34)</f>
        <v>8</v>
      </c>
      <c r="F35" s="517">
        <f>IF(Estudio_Mercado!Z34="","",Estudio_Mercado!Z34)</f>
        <v>395001</v>
      </c>
      <c r="G35" s="517">
        <f>IF(Estudio_Mercado!Z34="","",Estudio_Mercado!AA34)</f>
        <v>3160008</v>
      </c>
      <c r="H35" s="518"/>
      <c r="I35" s="519" t="str">
        <f t="shared" si="0"/>
        <v/>
      </c>
      <c r="J35" s="520" t="str">
        <f t="shared" si="1"/>
        <v>No cumple</v>
      </c>
      <c r="K35" s="521">
        <f t="shared" si="2"/>
        <v>395001</v>
      </c>
      <c r="L35" s="520" t="str">
        <f t="shared" si="3"/>
        <v>No cumple</v>
      </c>
      <c r="M35" s="522" t="e">
        <f t="shared" si="4"/>
        <v>#VALUE!</v>
      </c>
    </row>
    <row r="36" spans="2:13" ht="104.25">
      <c r="B36" s="515">
        <v>26</v>
      </c>
      <c r="C36" s="516" t="str">
        <f>IF(Estudio_Mercado!C35="","",Estudio_Mercado!C35)</f>
        <v>Agendas con esfero</v>
      </c>
      <c r="D36" s="516" t="str">
        <f>IF(Estudio_Mercado!D35="","",Estudio_Mercado!D35)</f>
        <v>Agenda:  Tamaño cuaderno (21,5 x 14 cm), 80 hojas internas  papel bond 76 gms impresas a una tinta (1x2)  hojas cuadriculadas, tapa dura, full color, plastificada, anillo doble.
Esfero: Bolígrafo plástico tinta negra Medidas: 14.5 cm, con sistema retráctil.</v>
      </c>
      <c r="E36" s="515">
        <f>IF(Estudio_Mercado!F35="","",Estudio_Mercado!F35)</f>
        <v>200</v>
      </c>
      <c r="F36" s="517">
        <f>IF(Estudio_Mercado!Z35="","",Estudio_Mercado!Z35)</f>
        <v>35700</v>
      </c>
      <c r="G36" s="517">
        <f>IF(Estudio_Mercado!Z35="","",Estudio_Mercado!AA35)</f>
        <v>7140000</v>
      </c>
      <c r="H36" s="518"/>
      <c r="I36" s="519" t="str">
        <f t="shared" si="0"/>
        <v/>
      </c>
      <c r="J36" s="520" t="str">
        <f t="shared" si="1"/>
        <v>No cumple</v>
      </c>
      <c r="K36" s="521">
        <f t="shared" si="2"/>
        <v>35700</v>
      </c>
      <c r="L36" s="520" t="str">
        <f t="shared" si="3"/>
        <v>No cumple</v>
      </c>
      <c r="M36" s="522" t="e">
        <f t="shared" si="4"/>
        <v>#VALUE!</v>
      </c>
    </row>
    <row r="37" spans="2:13" ht="74.25">
      <c r="B37" s="515">
        <v>27</v>
      </c>
      <c r="C37" s="516" t="str">
        <f>IF(Estudio_Mercado!C36="","",Estudio_Mercado!C36)</f>
        <v>Refrigerio saludable tipo 1</v>
      </c>
      <c r="D37" s="516" t="str">
        <f>IF(Estudio_Mercado!D36="","",Estudio_Mercado!D36)</f>
        <v xml:space="preserve">Wrap de pechuga de pollo a la plancha tajada (el pollo debe pesar 120 gramos), con vegetales salteados (pimentón y cebolla), queso crema y espinaca baby, en tortilla de trigo integral artesanal / Jugo natural en botella / Fruta entera no menor de 100 gramos /Dulce entre 12 y 15 gramos Chocolatina, y/o Arequipe, y/o bocadillo y/o similares/ Empaque tipo maletín. </v>
      </c>
      <c r="E37" s="515">
        <f>IF(Estudio_Mercado!F36="","",Estudio_Mercado!F36)</f>
        <v>400</v>
      </c>
      <c r="F37" s="517">
        <f>IF(Estudio_Mercado!Z36="","",Estudio_Mercado!Z36)</f>
        <v>31877</v>
      </c>
      <c r="G37" s="517">
        <f>IF(Estudio_Mercado!Z36="","",Estudio_Mercado!AA36)</f>
        <v>12750800</v>
      </c>
      <c r="H37" s="518"/>
      <c r="I37" s="519" t="str">
        <f t="shared" si="0"/>
        <v/>
      </c>
      <c r="J37" s="520" t="str">
        <f t="shared" si="1"/>
        <v>No cumple</v>
      </c>
      <c r="K37" s="521">
        <f t="shared" si="2"/>
        <v>31877</v>
      </c>
      <c r="L37" s="520" t="str">
        <f t="shared" si="3"/>
        <v>No cumple</v>
      </c>
      <c r="M37" s="522" t="e">
        <f t="shared" si="4"/>
        <v>#VALUE!</v>
      </c>
    </row>
    <row r="38" spans="2:13" ht="89.25">
      <c r="B38" s="515">
        <v>28</v>
      </c>
      <c r="C38" s="516" t="str">
        <f>IF(Estudio_Mercado!C37="","",Estudio_Mercado!C37)</f>
        <v xml:space="preserve">Bonos canjeables </v>
      </c>
      <c r="D38" s="516" t="str">
        <f>IF(Estudio_Mercado!D37="","",Estudio_Mercado!D37)</f>
        <v xml:space="preserve">Bono canjeable de un almacén de cadena con presencia en el Localidad de Suba por valor de Doscientos Mil pesos ($200.000) incluidos impuestos con una vigencia de un (1) año. Se deja un porcentaje del (3%) a costos indirectos asociados a la compra y entrega de la totalidad de los bonos. 
Nota: El bono podrá ser redimido por alimentos, elementos de aseo y cuidado personal, vestuario y tecnología únicamente. </v>
      </c>
      <c r="E38" s="515">
        <f>IF(Estudio_Mercado!F37="","",Estudio_Mercado!F37)</f>
        <v>200</v>
      </c>
      <c r="F38" s="517" t="str">
        <f>IF(Estudio_Mercado!Z37="","",Estudio_Mercado!Z37)</f>
        <v/>
      </c>
      <c r="G38" s="517">
        <v>41200000</v>
      </c>
      <c r="H38" s="518"/>
      <c r="I38" s="519" t="str">
        <f t="shared" si="0"/>
        <v/>
      </c>
      <c r="J38" s="520" t="str">
        <f t="shared" si="1"/>
        <v>No cumple</v>
      </c>
      <c r="K38" s="521" t="e">
        <f t="shared" si="2"/>
        <v>#VALUE!</v>
      </c>
      <c r="L38" s="520" t="str">
        <f t="shared" si="3"/>
        <v>No cumple</v>
      </c>
      <c r="M38" s="522" t="e">
        <f t="shared" si="4"/>
        <v>#VALUE!</v>
      </c>
    </row>
    <row r="39" spans="2:13" ht="89.25">
      <c r="B39" s="515">
        <v>29</v>
      </c>
      <c r="C39" s="516" t="str">
        <f>IF(Estudio_Mercado!C38="","",Estudio_Mercado!C38)</f>
        <v xml:space="preserve">Grupos artísticos locales </v>
      </c>
      <c r="D39" s="516" t="str">
        <f>IF(Estudio_Mercado!D38="","",Estudio_Mercado!D38)</f>
        <v xml:space="preserve">Grupos artísticos de la localidad de Suba, integrado por 4 personas, para hacer intervenciones diarias en diferentes espacios de la localidad de alta afluencia como lo son colegios. Incluye escenografía, vestuario, transporte, diseño y puesta en escena de una obra de teatro de calle (tipo flashmob) con una duración de 15 a 20 minutos, centrada en la redistribución del cuidado (Personaje: Mamá Pulpo). El equipo artístico debe ser de la localidad de Suba. Se requiere por un mes </v>
      </c>
      <c r="E39" s="515">
        <f>IF(Estudio_Mercado!F38="","",Estudio_Mercado!F38)</f>
        <v>10</v>
      </c>
      <c r="F39" s="517">
        <f>IF(Estudio_Mercado!Z38="","",Estudio_Mercado!Z38)</f>
        <v>2500000</v>
      </c>
      <c r="G39" s="517">
        <f>IF(Estudio_Mercado!Z38="","",Estudio_Mercado!AA38)</f>
        <v>25000000</v>
      </c>
      <c r="H39" s="518"/>
      <c r="I39" s="519" t="str">
        <f t="shared" si="0"/>
        <v/>
      </c>
      <c r="J39" s="520" t="str">
        <f t="shared" si="1"/>
        <v>No cumple</v>
      </c>
      <c r="K39" s="521">
        <f t="shared" si="2"/>
        <v>2500000</v>
      </c>
      <c r="L39" s="520" t="str">
        <f t="shared" si="3"/>
        <v>No cumple</v>
      </c>
      <c r="M39" s="522" t="e">
        <f t="shared" si="4"/>
        <v>#VALUE!</v>
      </c>
    </row>
    <row r="40" spans="2:13" ht="74.25">
      <c r="B40" s="515">
        <v>30</v>
      </c>
      <c r="C40" s="516" t="str">
        <f>IF(Estudio_Mercado!C39="","",Estudio_Mercado!C39)</f>
        <v>Lámina de imán</v>
      </c>
      <c r="D40" s="516" t="str">
        <f>IF(Estudio_Mercado!D39="","",Estudio_Mercado!D39)</f>
        <v xml:space="preserve">Lámina de imán lúdico-pedagógico de comunicación familiar, diseñado para visibilizar la carga de cuidado y promover el relevo de tareas en el hogar. El dispositivo utiliza la simbología universal del semáforo (Rojo, Amarillo y Verde) adaptada con un lenguaje cercano y jocoso para facilitar la negociación del tiempo propio de la cuidadora. </v>
      </c>
      <c r="E40" s="515">
        <f>IF(Estudio_Mercado!F39="","",Estudio_Mercado!F39)</f>
        <v>400</v>
      </c>
      <c r="F40" s="517">
        <f>IF(Estudio_Mercado!Z39="","",Estudio_Mercado!Z39)</f>
        <v>6603</v>
      </c>
      <c r="G40" s="517">
        <f>IF(Estudio_Mercado!Z39="","",Estudio_Mercado!AA39)</f>
        <v>2641200</v>
      </c>
      <c r="H40" s="518"/>
      <c r="I40" s="519" t="str">
        <f t="shared" si="0"/>
        <v/>
      </c>
      <c r="J40" s="520" t="str">
        <f t="shared" si="1"/>
        <v>No cumple</v>
      </c>
      <c r="K40" s="521">
        <f t="shared" si="2"/>
        <v>6603</v>
      </c>
      <c r="L40" s="520" t="str">
        <f t="shared" si="3"/>
        <v>No cumple</v>
      </c>
      <c r="M40" s="522" t="e">
        <f t="shared" si="4"/>
        <v>#VALUE!</v>
      </c>
    </row>
    <row r="41" spans="2:13" ht="104.25">
      <c r="B41" s="515">
        <v>31</v>
      </c>
      <c r="C41" s="516" t="str">
        <f>IF(Estudio_Mercado!C40="","",Estudio_Mercado!C40)</f>
        <v>Pin cuadrado</v>
      </c>
      <c r="D41" s="516" t="str">
        <f>IF(Estudio_Mercado!D40="","",Estudio_Mercado!D40)</f>
        <v xml:space="preserve">Pin cuadrado 2cm x cm
Material aluminio o acero inoxidable
Cierre mariposa en el mismo material del pin
Diseño personalizado 4x0 </v>
      </c>
      <c r="E41" s="515">
        <f>IF(Estudio_Mercado!F40="","",Estudio_Mercado!F40)</f>
        <v>200</v>
      </c>
      <c r="F41" s="517">
        <f>IF(Estudio_Mercado!Z40="","",Estudio_Mercado!Z40)</f>
        <v>18098</v>
      </c>
      <c r="G41" s="517">
        <f>IF(Estudio_Mercado!Z40="","",Estudio_Mercado!AA40)</f>
        <v>3619600</v>
      </c>
      <c r="H41" s="518"/>
      <c r="I41" s="519" t="str">
        <f t="shared" si="0"/>
        <v/>
      </c>
      <c r="J41" s="520" t="str">
        <f t="shared" si="1"/>
        <v>No cumple</v>
      </c>
      <c r="K41" s="521">
        <f t="shared" si="2"/>
        <v>18098</v>
      </c>
      <c r="L41" s="520" t="str">
        <f t="shared" si="3"/>
        <v>No cumple</v>
      </c>
      <c r="M41" s="522" t="e">
        <f t="shared" si="4"/>
        <v>#VALUE!</v>
      </c>
    </row>
    <row r="42" spans="2:13" ht="104.25">
      <c r="B42" s="515">
        <v>32</v>
      </c>
      <c r="C42" s="516" t="str">
        <f>IF(Estudio_Mercado!C41="","",Estudio_Mercado!C41)</f>
        <v>Pin redondo</v>
      </c>
      <c r="D42" s="516" t="str">
        <f>IF(Estudio_Mercado!D41="","",Estudio_Mercado!D41)</f>
        <v xml:space="preserve">Pin redondo diámetro 20 mm
Material aluminio o acero inoxidable
Cierre mariposa en el mismo material del pin
Diseño personalizado 4x0 </v>
      </c>
      <c r="E42" s="515">
        <f>IF(Estudio_Mercado!F41="","",Estudio_Mercado!F41)</f>
        <v>200</v>
      </c>
      <c r="F42" s="517">
        <f>IF(Estudio_Mercado!Z41="","",Estudio_Mercado!Z41)</f>
        <v>18098</v>
      </c>
      <c r="G42" s="517">
        <f>IF(Estudio_Mercado!Z41="","",Estudio_Mercado!AA41)</f>
        <v>3619600</v>
      </c>
      <c r="H42" s="518"/>
      <c r="I42" s="519" t="str">
        <f t="shared" si="0"/>
        <v/>
      </c>
      <c r="J42" s="520" t="str">
        <f t="shared" si="1"/>
        <v>No cumple</v>
      </c>
      <c r="K42" s="521">
        <f t="shared" si="2"/>
        <v>18098</v>
      </c>
      <c r="L42" s="520" t="str">
        <f t="shared" si="3"/>
        <v>No cumple</v>
      </c>
      <c r="M42" s="522" t="e">
        <f t="shared" si="4"/>
        <v>#VALUE!</v>
      </c>
    </row>
    <row r="43" spans="2:13" ht="60">
      <c r="B43" s="515">
        <v>33</v>
      </c>
      <c r="C43" s="516" t="str">
        <f>IF(Estudio_Mercado!C42="","",Estudio_Mercado!C42)</f>
        <v>Alquiler planta electrica 200 KVA</v>
      </c>
      <c r="D43" s="516" t="str">
        <f>IF(Estudio_Mercado!D42="","",Estudio_Mercado!D42)</f>
        <v>ALQUILER DE PLANTA ELÉCTRICA DE 200 KVA: PLANTA ELECTRICA DE 200 KVA INSONORIZADA, QUE INCLUYA TRANSPORTE, PARCIAL DE CORRIENTE DE 10 METROS, TRIFÁSICA, TIERRA Y NEUTRO CON OPERARIO DISPONIBLE JORNADA POR EVENTO O DÍA</v>
      </c>
      <c r="E43" s="515">
        <f>IF(Estudio_Mercado!F42="","",Estudio_Mercado!F42)</f>
        <v>10</v>
      </c>
      <c r="F43" s="517">
        <f>IF(Estudio_Mercado!Z42="","",Estudio_Mercado!Z42)</f>
        <v>3075033</v>
      </c>
      <c r="G43" s="517">
        <f>IF(Estudio_Mercado!Z42="","",Estudio_Mercado!AA42)</f>
        <v>30750330</v>
      </c>
      <c r="H43" s="518"/>
      <c r="I43" s="519" t="str">
        <f t="shared" si="0"/>
        <v/>
      </c>
      <c r="J43" s="520" t="str">
        <f t="shared" si="1"/>
        <v>No cumple</v>
      </c>
      <c r="K43" s="521">
        <f t="shared" si="2"/>
        <v>3075033</v>
      </c>
      <c r="L43" s="520" t="str">
        <f t="shared" si="3"/>
        <v>No cumple</v>
      </c>
      <c r="M43" s="522" t="e">
        <f t="shared" si="4"/>
        <v>#VALUE!</v>
      </c>
    </row>
    <row r="44" spans="2:13" ht="45">
      <c r="B44" s="515">
        <v>34</v>
      </c>
      <c r="C44" s="516" t="str">
        <f>IF(Estudio_Mercado!C43="","",Estudio_Mercado!C43)</f>
        <v>Alquiler Sonido 2000 w 8 a 12 horas</v>
      </c>
      <c r="D44" s="516" t="str">
        <f>IF(Estudio_Mercado!D43="","",Estudio_Mercado!D43)</f>
        <v>Alquiler de Sonido de 2000 watios con operario por un periodo de 8 a 12 horas 2 cabinas de sonido, 2 trípodes para cabinas, sistema de monitoreo, set de micrófono, 1 consola de sonido.</v>
      </c>
      <c r="E44" s="515">
        <f>IF(Estudio_Mercado!F43="","",Estudio_Mercado!F43)</f>
        <v>10</v>
      </c>
      <c r="F44" s="517">
        <f>IF(Estudio_Mercado!Z43="","",Estudio_Mercado!Z43)</f>
        <v>2114500</v>
      </c>
      <c r="G44" s="517">
        <f>IF(Estudio_Mercado!Z43="","",Estudio_Mercado!AA43)</f>
        <v>21145000</v>
      </c>
      <c r="H44" s="518"/>
      <c r="I44" s="519" t="str">
        <f t="shared" si="0"/>
        <v/>
      </c>
      <c r="J44" s="520" t="str">
        <f t="shared" si="1"/>
        <v>No cumple</v>
      </c>
      <c r="K44" s="521">
        <f t="shared" si="2"/>
        <v>2114500</v>
      </c>
      <c r="L44" s="520" t="str">
        <f t="shared" si="3"/>
        <v>No cumple</v>
      </c>
      <c r="M44" s="522" t="e">
        <f t="shared" si="4"/>
        <v>#VALUE!</v>
      </c>
    </row>
    <row r="45" spans="2:13" ht="104.25">
      <c r="B45" s="515">
        <v>35</v>
      </c>
      <c r="C45" s="516" t="str">
        <f>IF(Estudio_Mercado!C44="","",Estudio_Mercado!C44)</f>
        <v>Agendas con esfero</v>
      </c>
      <c r="D45" s="516" t="str">
        <f>IF(Estudio_Mercado!D44="","",Estudio_Mercado!D44)</f>
        <v>Agenda:  Tamaño cuaderno (21,5 x 14 cm), 80 hojas internas  papel bond 76 gms impresas a una tinta (1x2)  hojas cuadriculadas, tapa dura, full color, plastificada, anillo doble.
Esfero: Bolígrafo plástico tinta negra Medidas: 14.5 cm, con sistema retráctil.</v>
      </c>
      <c r="E45" s="515">
        <f>IF(Estudio_Mercado!F44="","",Estudio_Mercado!F44)</f>
        <v>250</v>
      </c>
      <c r="F45" s="517">
        <f>IF(Estudio_Mercado!Z44="","",Estudio_Mercado!Z44)</f>
        <v>35700</v>
      </c>
      <c r="G45" s="517">
        <f>IF(Estudio_Mercado!Z44="","",Estudio_Mercado!AA44)</f>
        <v>8925000</v>
      </c>
      <c r="H45" s="518"/>
      <c r="I45" s="519" t="str">
        <f t="shared" si="0"/>
        <v/>
      </c>
      <c r="J45" s="520" t="str">
        <f t="shared" si="1"/>
        <v>No cumple</v>
      </c>
      <c r="K45" s="521">
        <f t="shared" si="2"/>
        <v>35700</v>
      </c>
      <c r="L45" s="520" t="str">
        <f t="shared" si="3"/>
        <v>No cumple</v>
      </c>
      <c r="M45" s="522" t="e">
        <f t="shared" si="4"/>
        <v>#VALUE!</v>
      </c>
    </row>
    <row r="46" spans="2:13" ht="30">
      <c r="B46" s="515">
        <v>36</v>
      </c>
      <c r="C46" s="516" t="str">
        <f>IF(Estudio_Mercado!C45="","",Estudio_Mercado!C45)</f>
        <v xml:space="preserve">Inscripción RUNT </v>
      </c>
      <c r="D46" s="516" t="str">
        <f>IF(Estudio_Mercado!D45="","",Estudio_Mercado!D45)</f>
        <v>El contratista deberá apoyar y pagar la inscripción de las mujeres cuidadoras en el Registro Único Nacional de Tránsito (RUNT) valor del trámite 2026 $22.100</v>
      </c>
      <c r="E46" s="515">
        <f>IF(Estudio_Mercado!F45="","",Estudio_Mercado!F45)</f>
        <v>200</v>
      </c>
      <c r="F46" s="517">
        <f>IF(Estudio_Mercado!Z45="","",Estudio_Mercado!Z45)</f>
        <v>22100</v>
      </c>
      <c r="G46" s="517">
        <f>IF(Estudio_Mercado!Z45="","",Estudio_Mercado!AA45)</f>
        <v>4420000</v>
      </c>
      <c r="H46" s="518"/>
      <c r="I46" s="519" t="str">
        <f t="shared" si="0"/>
        <v/>
      </c>
      <c r="J46" s="520" t="str">
        <f t="shared" si="1"/>
        <v>No cumple</v>
      </c>
      <c r="K46" s="521">
        <f t="shared" si="2"/>
        <v>22100</v>
      </c>
      <c r="L46" s="520" t="str">
        <f t="shared" si="3"/>
        <v>No cumple</v>
      </c>
      <c r="M46" s="522" t="e">
        <f t="shared" si="4"/>
        <v>#VALUE!</v>
      </c>
    </row>
    <row r="47" spans="2:13" ht="402">
      <c r="B47" s="515">
        <v>37</v>
      </c>
      <c r="C47" s="516" t="str">
        <f>IF(Estudio_Mercado!C46="","",Estudio_Mercado!C46)</f>
        <v xml:space="preserve">LICENCIAS DE CONDUCCIÓN CATEGORÍAS A 2  </v>
      </c>
      <c r="D47" s="516" t="str">
        <f>IF(Estudio_Mercado!D46="","",Estudio_Mercado!D46)</f>
        <v>Capacitación técnica integral (curso de conducción) para la obtención de licencia de conducción Categoría A2 (Motocicletas de cualquier cilindraje), bajo la modalidad de 'Todo Costo'. El curso debe cumplir estrictamente con la intensidad horaria y contenidos de la Resolución No. 20223040045305 de 2022 del Ministerio de Transporte (43 horas totales: 25 de formación teórica, 3 de taller de mecánica básica y 15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Control y Vigilancia (SICOV) y la Agencia Nacional de Seguridad Vial (ANSV).
Nota 1: El valor de los derechos del Registro Único Nacional de Tránsito (RUNT) se encuentra costeado de manera independiente.
Nota 2: El valor ofertado debe incluir el costo del examen ante el Centro de Apoyo Logístico de Evaluación (CALE), en caso de que este sea exigible al momento de la ejecución del contrato de conformidad con la normativa vigente
Uso de vehículos de enseñanza (motocicletas),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v>
      </c>
      <c r="E47" s="515">
        <f>IF(Estudio_Mercado!F46="","",Estudio_Mercado!F46)</f>
        <v>100</v>
      </c>
      <c r="F47" s="517">
        <f>IF(Estudio_Mercado!Z46="","",Estudio_Mercado!Z46)</f>
        <v>1665484</v>
      </c>
      <c r="G47" s="517">
        <f>IF(Estudio_Mercado!Z46="","",Estudio_Mercado!AA46)</f>
        <v>166548400</v>
      </c>
      <c r="H47" s="518"/>
      <c r="I47" s="519" t="str">
        <f t="shared" si="0"/>
        <v/>
      </c>
      <c r="J47" s="520" t="str">
        <f t="shared" si="1"/>
        <v>No cumple</v>
      </c>
      <c r="K47" s="521">
        <f t="shared" si="2"/>
        <v>1665484</v>
      </c>
      <c r="L47" s="520" t="str">
        <f t="shared" si="3"/>
        <v>No cumple</v>
      </c>
      <c r="M47" s="522" t="e">
        <f t="shared" si="4"/>
        <v>#VALUE!</v>
      </c>
    </row>
    <row r="48" spans="2:13" ht="312">
      <c r="B48" s="515">
        <v>38</v>
      </c>
      <c r="C48" s="516" t="str">
        <f>IF(Estudio_Mercado!C47="","",Estudio_Mercado!C47)</f>
        <v>LICENCIAS DE CONDUCCIÓN CATEGORÍAS C1</v>
      </c>
      <c r="D48" s="516" t="str">
        <f>IF(Estudio_Mercado!D47="","",Estudio_Mercado!D47)</f>
        <v>Capacitación técnica integral (curso de conducción) para la obtención de licencia de conducción Categoría C1 (Vehículos de servicio público y particular), bajo la modalidad de 'Todo Costo'. El curso debe cumplir estrictamente con la intensidad horaria y contenidos de la Resolución No. 20223040045305 de 2022 del Ministerio de Transporte (70 horas totales: 35 de formación teórica, 5 de taller de mecánica básica y 30 de formación práctica),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la Agencia Nacional de Seguridad Vial (ANSV).
Nota 1: El valor de los derechos del Registro Único Nacional de Tránsito (RUNT) se encuentra costeado de manera independiente</v>
      </c>
      <c r="E48" s="515">
        <f>IF(Estudio_Mercado!F47="","",Estudio_Mercado!F47)</f>
        <v>100</v>
      </c>
      <c r="F48" s="517">
        <f>IF(Estudio_Mercado!Z47="","",Estudio_Mercado!Z47)</f>
        <v>2392599</v>
      </c>
      <c r="G48" s="517">
        <f>IF(Estudio_Mercado!Z47="","",Estudio_Mercado!AA47)</f>
        <v>239259900</v>
      </c>
      <c r="H48" s="518"/>
      <c r="I48" s="519" t="str">
        <f t="shared" si="0"/>
        <v/>
      </c>
      <c r="J48" s="520" t="str">
        <f t="shared" si="1"/>
        <v>No cumple</v>
      </c>
      <c r="K48" s="521">
        <f t="shared" si="2"/>
        <v>2392599</v>
      </c>
      <c r="L48" s="520" t="str">
        <f t="shared" si="3"/>
        <v>No cumple</v>
      </c>
      <c r="M48" s="522" t="e">
        <f t="shared" si="4"/>
        <v>#VALUE!</v>
      </c>
    </row>
    <row r="49" spans="2:13" ht="409.6">
      <c r="B49" s="515">
        <v>39</v>
      </c>
      <c r="C49" s="516" t="str">
        <f>IF(Estudio_Mercado!C48="","",Estudio_Mercado!C48)</f>
        <v xml:space="preserve">LICENCIAS DE CONDUCCIÓN CATEGORÍAS C2 </v>
      </c>
      <c r="D49" s="516" t="str">
        <f>IF(Estudio_Mercado!D48="","",Estudio_Mercado!D48)</f>
        <v xml:space="preserve">Capacitación técnica integral (curso de conducción) para la obtención de licencia de conducción Categoría C2 (Camiones rígidos, buses y busetas de servicio público), bajo la modalidad de 'Todo Costo'. El curso debe cumplir estrictamente con la intensidad horaria y contenidos establecidos en la Resolución No. 20223040045305 de 2022 (y demás normatividad vigente) del Ministerio de Transporte aplicables a esta categoría (60 horas totales para expedición inicial: 40 de formación teórica, 5 de taller de mecánica básica y 15 de formación práctica; o su equivalente en caso de aplicar recategorización), impartido por un Centro de Enseñanza Automovilística (CEA) con habilitación vigente y acreditación del Organismo Nacional de Acreditación de Colombia (ONAC).
El valor ofertado debe incluir obligatoriamente:
Instrucción especializada en personas nerviosas.
Derechos de instrucción.
Uso de vehículos de enseñanza (camión rígido, bus o buseta que cumpla con las especificaciones de la categoría C2) e infraestructura del centro.
Pólizas de seguro de accidentes para la beneficiaria.
Examen físico, mental y de coordinación motriz (examen médico) obligatorio para la expedición de la licencia de conducción, realizado en un Centro de Reconocimiento de Conductores (CRC) debidamente habilitado.
Pago de derechos de plataforma del Sistema de Control y Vigilancia (SICOV) y de la Agencia Nacional de Seguridad Vial (ANSV).
Nota: El valor de los derechos del Registro Único Nacional de Tránsito (RUNT) y de la Secretaría de Movilidad se encuentra costeado de manera independiente. </v>
      </c>
      <c r="E49" s="515">
        <f>IF(Estudio_Mercado!F48="","",Estudio_Mercado!F48)</f>
        <v>50</v>
      </c>
      <c r="F49" s="517">
        <f>IF(Estudio_Mercado!Z48="","",Estudio_Mercado!Z48)</f>
        <v>1650000</v>
      </c>
      <c r="G49" s="517">
        <f>IF(Estudio_Mercado!Z48="","",Estudio_Mercado!AA48)</f>
        <v>82500000</v>
      </c>
      <c r="H49" s="518"/>
      <c r="I49" s="519" t="str">
        <f t="shared" si="0"/>
        <v/>
      </c>
      <c r="J49" s="520" t="str">
        <f t="shared" si="1"/>
        <v>No cumple</v>
      </c>
      <c r="K49" s="521">
        <f t="shared" si="2"/>
        <v>1650000</v>
      </c>
      <c r="L49" s="520" t="str">
        <f t="shared" si="3"/>
        <v>No cumple</v>
      </c>
      <c r="M49" s="522" t="e">
        <f t="shared" si="4"/>
        <v>#VALUE!</v>
      </c>
    </row>
    <row r="50" spans="2:13" ht="30">
      <c r="B50" s="515">
        <v>40</v>
      </c>
      <c r="C50" s="516" t="str">
        <f>IF(Estudio_Mercado!C49="","",Estudio_Mercado!C49)</f>
        <v>COSTO DE EXPEDICIÓN LICENCIAS DE CONDUCCIÓN CATEGORÍAS A2</v>
      </c>
      <c r="D50" s="516" t="str">
        <f>IF(Estudio_Mercado!D49="","",Estudio_Mercado!D49)</f>
        <v xml:space="preserve">Expedición de licencias para categorías A2  </v>
      </c>
      <c r="E50" s="515">
        <f>IF(Estudio_Mercado!F49="","",Estudio_Mercado!F49)</f>
        <v>100</v>
      </c>
      <c r="F50" s="517">
        <f>IF(Estudio_Mercado!Z49="","",Estudio_Mercado!Z49)</f>
        <v>272350</v>
      </c>
      <c r="G50" s="517">
        <f>IF(Estudio_Mercado!Z49="","",Estudio_Mercado!AA49)</f>
        <v>27235000</v>
      </c>
      <c r="H50" s="518"/>
      <c r="I50" s="519" t="str">
        <f t="shared" si="0"/>
        <v/>
      </c>
      <c r="J50" s="520" t="str">
        <f t="shared" si="1"/>
        <v>No cumple</v>
      </c>
      <c r="K50" s="521">
        <f t="shared" si="2"/>
        <v>272350</v>
      </c>
      <c r="L50" s="520" t="str">
        <f t="shared" si="3"/>
        <v>No cumple</v>
      </c>
      <c r="M50" s="522" t="e">
        <f t="shared" si="4"/>
        <v>#VALUE!</v>
      </c>
    </row>
    <row r="51" spans="2:13" ht="30">
      <c r="B51" s="515">
        <v>41</v>
      </c>
      <c r="C51" s="516" t="str">
        <f>IF(Estudio_Mercado!C50="","",Estudio_Mercado!C50)</f>
        <v xml:space="preserve">COSTO DE EXPEDICIÓN LICENCIAS DE CONDUCCIÓN CATEGORÍAS C1 </v>
      </c>
      <c r="D51" s="516" t="str">
        <f>IF(Estudio_Mercado!D50="","",Estudio_Mercado!D50)</f>
        <v xml:space="preserve">Expedición de licencias para categorías C1 </v>
      </c>
      <c r="E51" s="515">
        <f>IF(Estudio_Mercado!F50="","",Estudio_Mercado!F50)</f>
        <v>100</v>
      </c>
      <c r="F51" s="517">
        <f>IF(Estudio_Mercado!Z50="","",Estudio_Mercado!Z50)</f>
        <v>329900</v>
      </c>
      <c r="G51" s="517">
        <f>IF(Estudio_Mercado!Z50="","",Estudio_Mercado!AA50)</f>
        <v>32990000</v>
      </c>
      <c r="H51" s="518"/>
      <c r="I51" s="519" t="str">
        <f t="shared" si="0"/>
        <v/>
      </c>
      <c r="J51" s="520" t="str">
        <f t="shared" si="1"/>
        <v>No cumple</v>
      </c>
      <c r="K51" s="521">
        <f t="shared" si="2"/>
        <v>329900</v>
      </c>
      <c r="L51" s="520" t="str">
        <f t="shared" si="3"/>
        <v>No cumple</v>
      </c>
      <c r="M51" s="522" t="e">
        <f t="shared" si="4"/>
        <v>#VALUE!</v>
      </c>
    </row>
    <row r="52" spans="2:13" ht="30">
      <c r="B52" s="515">
        <v>42</v>
      </c>
      <c r="C52" s="516" t="str">
        <f>IF(Estudio_Mercado!C51="","",Estudio_Mercado!C51)</f>
        <v xml:space="preserve">COSTO DE EXPEDICIÓN LICENCIAS DE CONDUCCIÓN CATEGORÍAS C2 </v>
      </c>
      <c r="D52" s="516" t="str">
        <f>IF(Estudio_Mercado!D51="","",Estudio_Mercado!D51)</f>
        <v xml:space="preserve">Expedición de licencias para categorías C2 </v>
      </c>
      <c r="E52" s="515">
        <f>IF(Estudio_Mercado!F51="","",Estudio_Mercado!F51)</f>
        <v>50</v>
      </c>
      <c r="F52" s="517">
        <f>IF(Estudio_Mercado!Z51="","",Estudio_Mercado!Z51)</f>
        <v>298150</v>
      </c>
      <c r="G52" s="517">
        <f>IF(Estudio_Mercado!Z51="","",Estudio_Mercado!AA51)</f>
        <v>14907500</v>
      </c>
      <c r="H52" s="518"/>
      <c r="I52" s="519" t="str">
        <f t="shared" si="0"/>
        <v/>
      </c>
      <c r="J52" s="520" t="str">
        <f t="shared" si="1"/>
        <v>No cumple</v>
      </c>
      <c r="K52" s="521">
        <f t="shared" si="2"/>
        <v>298150</v>
      </c>
      <c r="L52" s="520" t="str">
        <f t="shared" si="3"/>
        <v>No cumple</v>
      </c>
      <c r="M52" s="522" t="e">
        <f t="shared" si="4"/>
        <v>#VALUE!</v>
      </c>
    </row>
    <row r="53" spans="2:13" ht="134.25">
      <c r="B53" s="515">
        <v>43</v>
      </c>
      <c r="C53" s="516" t="str">
        <f>IF(Estudio_Mercado!C52="","",Estudio_Mercado!C52)</f>
        <v>Auditorio 500 personas</v>
      </c>
      <c r="D53" s="516" t="str">
        <f>IF(Estudio_Mercado!D52="","",Estudio_Mercado!D52)</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E53" s="515">
        <f>IF(Estudio_Mercado!F52="","",Estudio_Mercado!F52)</f>
        <v>1</v>
      </c>
      <c r="F53" s="517">
        <f>IF(Estudio_Mercado!Z52="","",Estudio_Mercado!Z52)</f>
        <v>3776316</v>
      </c>
      <c r="G53" s="517">
        <f>IF(Estudio_Mercado!Z52="","",Estudio_Mercado!AA52)</f>
        <v>3776316</v>
      </c>
      <c r="H53" s="518"/>
      <c r="I53" s="519" t="str">
        <f t="shared" si="0"/>
        <v/>
      </c>
      <c r="J53" s="520" t="str">
        <f t="shared" si="1"/>
        <v>No cumple</v>
      </c>
      <c r="K53" s="521">
        <f t="shared" si="2"/>
        <v>3776316</v>
      </c>
      <c r="L53" s="520" t="str">
        <f t="shared" si="3"/>
        <v>No cumple</v>
      </c>
      <c r="M53" s="522" t="e">
        <f t="shared" si="4"/>
        <v>#VALUE!</v>
      </c>
    </row>
    <row r="54" spans="2:13" ht="60">
      <c r="B54" s="515">
        <v>44</v>
      </c>
      <c r="C54" s="516" t="str">
        <f>IF(Estudio_Mercado!C53="","",Estudio_Mercado!C53)</f>
        <v>Estación de café tipo 2</v>
      </c>
      <c r="D54" s="516" t="str">
        <f>IF(Estudio_Mercado!D53="","",Estudio_Mercado!D53)</f>
        <v>Servicio de cafetería para 100 personas (tinto, aromática y agua): Operarios + presentación de mesas + vasos de cartón bebida caliente 4 oz. + mezclador + azúcar + crema para café. Incluye galletas tipo avena o integrales. Duración del evento aprox. 6 horas. Transporte incluido.</v>
      </c>
      <c r="E54" s="515">
        <f>IF(Estudio_Mercado!F53="","",Estudio_Mercado!F53)</f>
        <v>2</v>
      </c>
      <c r="F54" s="517">
        <f>IF(Estudio_Mercado!Z53="","",Estudio_Mercado!Z53)</f>
        <v>1159100</v>
      </c>
      <c r="G54" s="517">
        <f>IF(Estudio_Mercado!Z53="","",Estudio_Mercado!AA53)</f>
        <v>2318200</v>
      </c>
      <c r="H54" s="518"/>
      <c r="I54" s="519" t="str">
        <f t="shared" si="0"/>
        <v/>
      </c>
      <c r="J54" s="520" t="str">
        <f t="shared" si="1"/>
        <v>No cumple</v>
      </c>
      <c r="K54" s="521">
        <f t="shared" si="2"/>
        <v>1159100</v>
      </c>
      <c r="L54" s="520" t="str">
        <f t="shared" si="3"/>
        <v>No cumple</v>
      </c>
      <c r="M54" s="522" t="e">
        <f t="shared" si="4"/>
        <v>#VALUE!</v>
      </c>
    </row>
    <row r="55" spans="2:13" ht="60">
      <c r="B55" s="515">
        <v>45</v>
      </c>
      <c r="C55" s="516" t="str">
        <f>IF(Estudio_Mercado!C54="","",Estudio_Mercado!C54)</f>
        <v>Certificado de participación</v>
      </c>
      <c r="D55" s="516" t="str">
        <f>IF(Estudio_Mercado!D54="","",Estudio_Mercado!D54)</f>
        <v>Impresión a media carta 4 tintas en papel
propalcote o kimberly 200 gr, tamaño 22x28 cm con nombres individuales o espacio para el mismo, refilados.</v>
      </c>
      <c r="E55" s="515">
        <f>IF(Estudio_Mercado!F54="","",Estudio_Mercado!F54)</f>
        <v>250</v>
      </c>
      <c r="F55" s="517">
        <f>IF(Estudio_Mercado!Z54="","",Estudio_Mercado!Z54)</f>
        <v>3206</v>
      </c>
      <c r="G55" s="517">
        <f>IF(Estudio_Mercado!Z54="","",Estudio_Mercado!AA54)</f>
        <v>801500</v>
      </c>
      <c r="H55" s="518"/>
      <c r="I55" s="519" t="str">
        <f t="shared" si="0"/>
        <v/>
      </c>
      <c r="J55" s="520" t="str">
        <f t="shared" si="1"/>
        <v>No cumple</v>
      </c>
      <c r="K55" s="521">
        <f t="shared" si="2"/>
        <v>3206</v>
      </c>
      <c r="L55" s="520" t="str">
        <f t="shared" si="3"/>
        <v>No cumple</v>
      </c>
      <c r="M55" s="522" t="e">
        <f t="shared" si="4"/>
        <v>#VALUE!</v>
      </c>
    </row>
    <row r="56" spans="2:13" ht="89.25">
      <c r="B56" s="515">
        <v>46</v>
      </c>
      <c r="C56" s="516" t="str">
        <f>IF(Estudio_Mercado!C55="","",Estudio_Mercado!C55)</f>
        <v>Salón - Espacio Apto para 50 personas  (media jornada más equipos audiovisuales)</v>
      </c>
      <c r="D56" s="516" t="str">
        <f>IF(Estudio_Mercado!D55="","",Estudio_Mercado!D55)</f>
        <v>Espacio físico para 50 personas con baño, sillas y mesas, ubicado en la localidad de Suba, con disponibilidad de espacio exterior para desarrollo de actividades
Dotado con equipo de computo, video beam y sonido
Jornada de 4 horas</v>
      </c>
      <c r="E56" s="515">
        <f>IF(Estudio_Mercado!F55="","",Estudio_Mercado!F55)</f>
        <v>24</v>
      </c>
      <c r="F56" s="517">
        <f>IF(Estudio_Mercado!Z55="","",Estudio_Mercado!Z55)</f>
        <v>330001</v>
      </c>
      <c r="G56" s="517">
        <f>IF(Estudio_Mercado!Z55="","",Estudio_Mercado!AA55)</f>
        <v>7920024</v>
      </c>
      <c r="H56" s="518"/>
      <c r="I56" s="519" t="str">
        <f t="shared" si="0"/>
        <v/>
      </c>
      <c r="J56" s="520" t="str">
        <f t="shared" si="1"/>
        <v>No cumple</v>
      </c>
      <c r="K56" s="521">
        <f t="shared" si="2"/>
        <v>330001</v>
      </c>
      <c r="L56" s="520" t="str">
        <f t="shared" si="3"/>
        <v>No cumple</v>
      </c>
      <c r="M56" s="522" t="e">
        <f t="shared" si="4"/>
        <v>#VALUE!</v>
      </c>
    </row>
    <row r="57" spans="2:13" ht="60">
      <c r="B57" s="515">
        <v>47</v>
      </c>
      <c r="C57" s="516" t="str">
        <f>IF(Estudio_Mercado!C56="","",Estudio_Mercado!C56)</f>
        <v>Refrigerio saludable tipo 2</v>
      </c>
      <c r="D57" s="516" t="str">
        <f>IF(Estudio_Mercado!D56="","",Estudio_Mercado!D56)</f>
        <v xml:space="preserve">Sándwich de pollo desmechado (el pollo debe pesar 120 gramos), lechuga, queso y salsas, en pan de orégano, ajo o cualquier otro de tipo artesanal y de alta calidad / Jugo natural en botella / Fruta entera /chocolatina de 11 gramos/ Empaque  tipo maletín </v>
      </c>
      <c r="E57" s="515">
        <f>IF(Estudio_Mercado!F56="","",Estudio_Mercado!F56)</f>
        <v>450</v>
      </c>
      <c r="F57" s="517">
        <f>IF(Estudio_Mercado!Z56="","",Estudio_Mercado!Z56)</f>
        <v>28674</v>
      </c>
      <c r="G57" s="517">
        <f>IF(Estudio_Mercado!Z56="","",Estudio_Mercado!AA56)</f>
        <v>12903300</v>
      </c>
      <c r="H57" s="518"/>
      <c r="I57" s="519" t="str">
        <f t="shared" si="0"/>
        <v/>
      </c>
      <c r="J57" s="520" t="str">
        <f t="shared" si="1"/>
        <v>No cumple</v>
      </c>
      <c r="K57" s="521">
        <f t="shared" si="2"/>
        <v>28674</v>
      </c>
      <c r="L57" s="520" t="str">
        <f t="shared" si="3"/>
        <v>No cumple</v>
      </c>
      <c r="M57" s="522" t="e">
        <f t="shared" si="4"/>
        <v>#VALUE!</v>
      </c>
    </row>
    <row r="58" spans="2:13" ht="134.25">
      <c r="B58" s="515">
        <v>48</v>
      </c>
      <c r="C58" s="516" t="str">
        <f>IF(Estudio_Mercado!C57="","",Estudio_Mercado!C57)</f>
        <v>CHAQUETA DE PROTECCIÓN PARA MOTO (ERGONOMÍA FEMENINA) </v>
      </c>
      <c r="D58" s="516" t="str">
        <f>IF(Estudio_Mercado!D57="","",Estudio_Mercado!D57)</f>
        <v xml:space="preserve">Material: Lona HTR 1000 de alta densidad, resistente a la abrasión (antifricción). 
Protecciones: Sistema fijo de protecciones en 5 puntos: hombros, codos, pecho y espalda (material microporosa flexible CE). 
Clima: Interior en tela térmica (ideal para el frío de Bogotá). 
Impermeabilidad: Nivel de protección mínimo del 80% (resistente a lluvia moderada). 
Visibilidad: Membranas reflectivas integradas en pecho, espalda y brazos. 
Ajuste: Correas regulables en cintura y puños para asegurar que las protecciones no se desplacen 
Diferentes tallas. </v>
      </c>
      <c r="E58" s="515">
        <f>IF(Estudio_Mercado!F57="","",Estudio_Mercado!F57)</f>
        <v>150</v>
      </c>
      <c r="F58" s="517">
        <f>IF(Estudio_Mercado!Z57="","",Estudio_Mercado!Z57)</f>
        <v>187500</v>
      </c>
      <c r="G58" s="517">
        <f>IF(Estudio_Mercado!Z57="","",Estudio_Mercado!AA57)</f>
        <v>28125000</v>
      </c>
      <c r="H58" s="518"/>
      <c r="I58" s="519" t="str">
        <f t="shared" si="0"/>
        <v/>
      </c>
      <c r="J58" s="520" t="str">
        <f t="shared" si="1"/>
        <v>No cumple</v>
      </c>
      <c r="K58" s="521">
        <f t="shared" si="2"/>
        <v>187500</v>
      </c>
      <c r="L58" s="520" t="str">
        <f t="shared" si="3"/>
        <v>No cumple</v>
      </c>
      <c r="M58" s="522" t="e">
        <f t="shared" si="4"/>
        <v>#VALUE!</v>
      </c>
    </row>
    <row r="59" spans="2:13" ht="119.25">
      <c r="B59" s="515">
        <v>49</v>
      </c>
      <c r="C59" s="516" t="str">
        <f>IF(Estudio_Mercado!C58="","",Estudio_Mercado!C58)</f>
        <v>KIT DE HERRAMIENTAS BÁSICO PARA MOTO </v>
      </c>
      <c r="D59" s="516" t="str">
        <f>IF(Estudio_Mercado!D58="","",Estudio_Mercado!D58)</f>
        <v>Juego De Herramientas 83 Piezas PRETUL Cuadrante 1/4" - 3/8" Negro
10 Copas 6 puntas 4 mm a 13 mm - 1/4"10 Copas 6 puntas 5/32" a 1/2" - 1/4"8 Copas 6 puntas 5/16" a 3/4" - 3/8"3 Copas 8 puntas 1/4" a 3/8" - 1/4"10 Copas 6 puntas 9 mm a 19 mm - 3/8"1 Rachet - 3/8"1 Extensión 3/8" x 3"1 Copa bujía 5/8" - 3/8"1 Adaptador 3/8" x 1/4"1 Destornillador tipo ratchet - 1/4"1 Adaptador para ratchet1 Adaptador para puntas 2 1/2"8 Llaves bristol 1/16" a 1/4"8 Llaves bristol 1,5 mm a 6 mm3 Puntas pala 3/16" a 9/32"3 Puntas estrella PH1 a PH39 Puntas Cuadradas S1 a S34 puntas torx T10 a T252 Organizadores para llaves bristol</v>
      </c>
      <c r="E59" s="515">
        <f>IF(Estudio_Mercado!F58="","",Estudio_Mercado!F58)</f>
        <v>150</v>
      </c>
      <c r="F59" s="517">
        <f>IF(Estudio_Mercado!Z58="","",Estudio_Mercado!Z58)</f>
        <v>145267</v>
      </c>
      <c r="G59" s="517">
        <f>IF(Estudio_Mercado!Z58="","",Estudio_Mercado!AA58)</f>
        <v>21790050</v>
      </c>
      <c r="H59" s="518"/>
      <c r="I59" s="519" t="str">
        <f t="shared" si="0"/>
        <v/>
      </c>
      <c r="J59" s="520" t="str">
        <f t="shared" si="1"/>
        <v>No cumple</v>
      </c>
      <c r="K59" s="521">
        <f t="shared" si="2"/>
        <v>145267</v>
      </c>
      <c r="L59" s="520" t="str">
        <f t="shared" si="3"/>
        <v>No cumple</v>
      </c>
      <c r="M59" s="522" t="e">
        <f t="shared" si="4"/>
        <v>#VALUE!</v>
      </c>
    </row>
    <row r="60" spans="2:13" ht="253.5">
      <c r="B60" s="515">
        <v>50</v>
      </c>
      <c r="C60" s="516" t="str">
        <f>IF(Estudio_Mercado!C59="","",Estudio_Mercado!C59)</f>
        <v>Guía de Bolsillo </v>
      </c>
      <c r="D60" s="516" t="str">
        <f>IF(Estudio_Mercado!D59="","",Estudio_Mercado!D59)</f>
        <v>"Impresión fotográfica, Tipo de material:
Guía impresa pedagógica tipo folleto de bolsillo, Formato:
Díptico, tríptico o cuadernillo plegado (según diseño aprobado).
Dimensiones:
Cerrado: entre 9 x 14 cm y 11 x 16 cm
Abierto: proporcional al tipo de plegado
Número de páginas:
Entre 6 y 12 caras (según contenido aprobado).
Papel: Propalcote mate o bond de alta calidad
Gramaje entre 90 g/m² y 150 g/m²
Impresión: Tinta negra o policromía (según disponibilidad presupuestal)
Alta legibilidad
Acabados: Mate (evita reflejo y facilita lectura)
Doblado preciso
Opcional: laminado mate para mayor durabilidad
Encuadernación: Plegado simple o grapado (si es tipo cuadernillo), diseño aprobado en comité técnico de supervisión y/o apoyos a la supervisión"</v>
      </c>
      <c r="E60" s="515">
        <f>IF(Estudio_Mercado!F59="","",Estudio_Mercado!F59)</f>
        <v>150</v>
      </c>
      <c r="F60" s="517">
        <f>IF(Estudio_Mercado!Z59="","",Estudio_Mercado!Z59)</f>
        <v>38881</v>
      </c>
      <c r="G60" s="517">
        <f>IF(Estudio_Mercado!Z59="","",Estudio_Mercado!AA59)</f>
        <v>5832150</v>
      </c>
      <c r="H60" s="518"/>
      <c r="I60" s="519" t="str">
        <f t="shared" si="0"/>
        <v/>
      </c>
      <c r="J60" s="520" t="str">
        <f t="shared" si="1"/>
        <v>No cumple</v>
      </c>
      <c r="K60" s="521">
        <f t="shared" si="2"/>
        <v>38881</v>
      </c>
      <c r="L60" s="520" t="str">
        <f t="shared" si="3"/>
        <v>No cumple</v>
      </c>
      <c r="M60" s="522" t="e">
        <f t="shared" si="4"/>
        <v>#VALUE!</v>
      </c>
    </row>
    <row r="61" spans="2:13" ht="134.25">
      <c r="B61" s="515">
        <v>51</v>
      </c>
      <c r="C61" s="516" t="str">
        <f>IF(Estudio_Mercado!C60="","",Estudio_Mercado!C60)</f>
        <v>Auditorio 500 personas</v>
      </c>
      <c r="D61" s="516" t="str">
        <f>IF(Estudio_Mercado!D60="","",Estudio_Mercado!D60)</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E61" s="515">
        <f>IF(Estudio_Mercado!F60="","",Estudio_Mercado!F60)</f>
        <v>1</v>
      </c>
      <c r="F61" s="517">
        <f>IF(Estudio_Mercado!Z60="","",Estudio_Mercado!Z60)</f>
        <v>3453097</v>
      </c>
      <c r="G61" s="517">
        <f>IF(Estudio_Mercado!Z60="","",Estudio_Mercado!AA60)</f>
        <v>3453097</v>
      </c>
      <c r="H61" s="518"/>
      <c r="I61" s="519" t="str">
        <f t="shared" si="0"/>
        <v/>
      </c>
      <c r="J61" s="520" t="str">
        <f t="shared" si="1"/>
        <v>No cumple</v>
      </c>
      <c r="K61" s="521">
        <f t="shared" si="2"/>
        <v>3453097</v>
      </c>
      <c r="L61" s="520" t="str">
        <f t="shared" si="3"/>
        <v>No cumple</v>
      </c>
      <c r="M61" s="522" t="e">
        <f t="shared" si="4"/>
        <v>#VALUE!</v>
      </c>
    </row>
    <row r="62" spans="2:13" ht="89.25">
      <c r="B62" s="515">
        <v>52</v>
      </c>
      <c r="C62" s="516" t="str">
        <f>IF(Estudio_Mercado!C61="","",Estudio_Mercado!C61)</f>
        <v>Salón - Espacio Apto para 50 personas  (media jornada más equipos audiovisuales)</v>
      </c>
      <c r="D62" s="516" t="str">
        <f>IF(Estudio_Mercado!D61="","",Estudio_Mercado!D61)</f>
        <v>Espacio físico para 50 personas con baño, sillas y mesas, ubicado en la localidad de Suba, con disponibilidad de espacio exterior para desarrollo de actividades
Dotado con equipo de computo, video beam y sonido
Jornada de 4 horas</v>
      </c>
      <c r="E62" s="515">
        <f>IF(Estudio_Mercado!F61="","",Estudio_Mercado!F61)</f>
        <v>8</v>
      </c>
      <c r="F62" s="517">
        <f>IF(Estudio_Mercado!Z61="","",Estudio_Mercado!Z61)</f>
        <v>330001</v>
      </c>
      <c r="G62" s="517">
        <f>IF(Estudio_Mercado!Z61="","",Estudio_Mercado!AA61)</f>
        <v>2640008</v>
      </c>
      <c r="H62" s="518"/>
      <c r="I62" s="519" t="str">
        <f t="shared" si="0"/>
        <v/>
      </c>
      <c r="J62" s="520" t="str">
        <f t="shared" si="1"/>
        <v>No cumple</v>
      </c>
      <c r="K62" s="521">
        <f t="shared" si="2"/>
        <v>330001</v>
      </c>
      <c r="L62" s="520" t="str">
        <f t="shared" si="3"/>
        <v>No cumple</v>
      </c>
      <c r="M62" s="522" t="e">
        <f t="shared" si="4"/>
        <v>#VALUE!</v>
      </c>
    </row>
    <row r="63" spans="2:13" ht="60">
      <c r="B63" s="515">
        <v>53</v>
      </c>
      <c r="C63" s="516" t="str">
        <f>IF(Estudio_Mercado!C62="","",Estudio_Mercado!C62)</f>
        <v>Refrigerio saludable tipo 2</v>
      </c>
      <c r="D63" s="516" t="str">
        <f>IF(Estudio_Mercado!D62="","",Estudio_Mercado!D62)</f>
        <v xml:space="preserve">Sándwich de pollo desmechado (el pollo debe pesar 120 gramos), lechuga, queso y salsas, en pan de orégano, ajo o cualquier otro de tipo artesanal y de alta calidad / Jugo natural en botella / Fruta entera /chocolatina de 11 gramos/ Empaque  tipo maletín </v>
      </c>
      <c r="E63" s="515">
        <f>IF(Estudio_Mercado!F62="","",Estudio_Mercado!F62)</f>
        <v>400</v>
      </c>
      <c r="F63" s="517">
        <f>IF(Estudio_Mercado!Z62="","",Estudio_Mercado!Z62)</f>
        <v>28674</v>
      </c>
      <c r="G63" s="517">
        <f>IF(Estudio_Mercado!Z62="","",Estudio_Mercado!AA62)</f>
        <v>11469600</v>
      </c>
      <c r="H63" s="518"/>
      <c r="I63" s="519" t="str">
        <f t="shared" si="0"/>
        <v/>
      </c>
      <c r="J63" s="520" t="str">
        <f t="shared" si="1"/>
        <v>No cumple</v>
      </c>
      <c r="K63" s="521">
        <f t="shared" si="2"/>
        <v>28674</v>
      </c>
      <c r="L63" s="520" t="str">
        <f t="shared" si="3"/>
        <v>No cumple</v>
      </c>
      <c r="M63" s="522" t="e">
        <f t="shared" si="4"/>
        <v>#VALUE!</v>
      </c>
    </row>
    <row r="64" spans="2:13" ht="45">
      <c r="B64" s="515">
        <v>54</v>
      </c>
      <c r="C64" s="516" t="str">
        <f>IF(Estudio_Mercado!C63="","",Estudio_Mercado!C63)</f>
        <v xml:space="preserve">SET DE AGUJAS DE CROHÉ - SET AGUJAS DE CROCHET POR 22 AGUJAS METÁLICAS DE DIVERSOS TAMAÑOS DESDE 0.60 MM HASTA 6.5MM INCLUYE ESTUCHE </v>
      </c>
      <c r="D64" s="516" t="str">
        <f>IF(Estudio_Mercado!D63="","",Estudio_Mercado!D63)</f>
        <v>Set agujas de croché por 22 agujas metálicas  de diversos tamaños desde 0.60 mm hasta 6.5 mm e incluye estuche</v>
      </c>
      <c r="E64" s="515">
        <f>IF(Estudio_Mercado!F63="","",Estudio_Mercado!F63)</f>
        <v>50</v>
      </c>
      <c r="F64" s="517" t="str">
        <f>IF(Estudio_Mercado!Z63="","",Estudio_Mercado!Z63)</f>
        <v>$ 38.845</v>
      </c>
      <c r="G64" s="517" t="str">
        <f>IF(Estudio_Mercado!Z63="","",Estudio_Mercado!AA63)</f>
        <v>$ 1.942.250</v>
      </c>
      <c r="H64" s="518"/>
      <c r="I64" s="519" t="str">
        <f t="shared" si="0"/>
        <v/>
      </c>
      <c r="J64" s="520" t="str">
        <f t="shared" si="1"/>
        <v>No cumple</v>
      </c>
      <c r="K64" s="521" t="e">
        <f t="shared" si="2"/>
        <v>#VALUE!</v>
      </c>
      <c r="L64" s="520" t="str">
        <f t="shared" si="3"/>
        <v>Cumple</v>
      </c>
      <c r="M64" s="522" t="e">
        <f t="shared" si="4"/>
        <v>#VALUE!</v>
      </c>
    </row>
    <row r="65" spans="2:52" ht="45">
      <c r="B65" s="515">
        <v>55</v>
      </c>
      <c r="C65" s="516" t="str">
        <f>IF(Estudio_Mercado!C64="","",Estudio_Mercado!C64)</f>
        <v>Lana de colores 6 mm</v>
      </c>
      <c r="D65" s="516" t="str">
        <f>IF(Estudio_Mercado!D64="","",Estudio_Mercado!D64)</f>
        <v>Lana 6mm antialérgica 100% algodón. Madeja de fibra natural 100% algodón antialérgico de 6 mm de grosor y un peso de 100 gramos. Hebra de textura suave y composición transpirable, disponible en gama de colores variados. </v>
      </c>
      <c r="E65" s="515">
        <f>IF(Estudio_Mercado!F64="","",Estudio_Mercado!F64)</f>
        <v>50</v>
      </c>
      <c r="F65" s="517">
        <f>IF(Estudio_Mercado!Z64="","",Estudio_Mercado!Z64)</f>
        <v>5629</v>
      </c>
      <c r="G65" s="517">
        <f>IF(Estudio_Mercado!Z64="","",Estudio_Mercado!AA64)</f>
        <v>281450</v>
      </c>
      <c r="H65" s="518"/>
      <c r="I65" s="519" t="str">
        <f t="shared" si="0"/>
        <v/>
      </c>
      <c r="J65" s="520" t="str">
        <f t="shared" si="1"/>
        <v>No cumple</v>
      </c>
      <c r="K65" s="521">
        <f t="shared" si="2"/>
        <v>5629</v>
      </c>
      <c r="L65" s="520" t="str">
        <f t="shared" si="3"/>
        <v>No cumple</v>
      </c>
      <c r="M65" s="522" t="e">
        <f t="shared" si="4"/>
        <v>#VALUE!</v>
      </c>
    </row>
    <row r="66" spans="2:52" ht="45">
      <c r="B66" s="515">
        <v>56</v>
      </c>
      <c r="C66" s="516" t="str">
        <f>IF(Estudio_Mercado!C65="","",Estudio_Mercado!C65)</f>
        <v>Lana de colores 6 mm</v>
      </c>
      <c r="D66" s="516" t="str">
        <f>IF(Estudio_Mercado!D65="","",Estudio_Mercado!D65)</f>
        <v>Lana 6mm antialérgica 100% algodón. Madeja de fibra natural 100% algodón antialérgico de 6 mm de grosor y un peso de 100 gramos. Hebra de textura suave y composición transpirable, disponible en gama de colores variados. </v>
      </c>
      <c r="E66" s="515">
        <f>IF(Estudio_Mercado!F65="","",Estudio_Mercado!F65)</f>
        <v>300</v>
      </c>
      <c r="F66" s="517">
        <f>IF(Estudio_Mercado!Z65="","",Estudio_Mercado!Z65)</f>
        <v>5629</v>
      </c>
      <c r="G66" s="517">
        <f>IF(Estudio_Mercado!Z65="","",Estudio_Mercado!AA65)</f>
        <v>1688700</v>
      </c>
      <c r="H66" s="518"/>
      <c r="I66" s="519" t="str">
        <f t="shared" si="0"/>
        <v/>
      </c>
      <c r="J66" s="520" t="str">
        <f t="shared" si="1"/>
        <v>No cumple</v>
      </c>
      <c r="K66" s="521">
        <f t="shared" si="2"/>
        <v>5629</v>
      </c>
      <c r="L66" s="520" t="str">
        <f t="shared" si="3"/>
        <v>No cumple</v>
      </c>
      <c r="M66" s="522" t="e">
        <f t="shared" si="4"/>
        <v>#VALUE!</v>
      </c>
    </row>
    <row r="67" spans="2:52" ht="30">
      <c r="B67" s="515">
        <v>57</v>
      </c>
      <c r="C67" s="546" t="str">
        <f>IF(Estudio_Mercado!C66="","",Estudio_Mercado!C66)</f>
        <v xml:space="preserve">kit de ganchos y accesorios para tejer al crochet 20 marcadores de puntos de tejido </v>
      </c>
      <c r="D67" s="516" t="str">
        <f>IF(Estudio_Mercado!D66="","",Estudio_Mercado!D66)</f>
        <v xml:space="preserve">20 marcadores de puntos de tejido </v>
      </c>
      <c r="E67" s="515">
        <f>IF(Estudio_Mercado!F66="","",Estudio_Mercado!F66)</f>
        <v>50</v>
      </c>
      <c r="F67" s="517">
        <f>IF(Estudio_Mercado!Z66="","",Estudio_Mercado!Z66)</f>
        <v>4329</v>
      </c>
      <c r="G67" s="517">
        <f>IF(Estudio_Mercado!Z66="","",Estudio_Mercado!AA66)</f>
        <v>216450</v>
      </c>
      <c r="H67" s="518"/>
      <c r="I67" s="519" t="str">
        <f t="shared" si="0"/>
        <v/>
      </c>
      <c r="J67" s="520" t="str">
        <f t="shared" si="1"/>
        <v>No cumple</v>
      </c>
      <c r="K67" s="521">
        <f t="shared" si="2"/>
        <v>4329</v>
      </c>
      <c r="L67" s="520" t="str">
        <f t="shared" si="3"/>
        <v>No cumple</v>
      </c>
      <c r="M67" s="522" t="e">
        <f t="shared" si="4"/>
        <v>#VALUE!</v>
      </c>
    </row>
    <row r="68" spans="2:52" ht="45">
      <c r="B68" s="515">
        <v>58</v>
      </c>
      <c r="C68" s="546" t="str">
        <f>IF(Estudio_Mercado!C67="","",Estudio_Mercado!C67)</f>
        <v>Tijera para cortar tela (tipo modista)</v>
      </c>
      <c r="D68" s="516" t="str">
        <f>IF(Estudio_Mercado!D67="","",Estudio_Mercado!D67)</f>
        <v>Tijera de modistería 7.5": Herramienta de corte con hojas de acero forjado de alta resistencia y filo rectificado. Cuenta con mango ergonómico recubierto en silicona o polímero de alto impacto.</v>
      </c>
      <c r="E68" s="515">
        <f>IF(Estudio_Mercado!F67="","",Estudio_Mercado!F67)</f>
        <v>50</v>
      </c>
      <c r="F68" s="517">
        <f>IF(Estudio_Mercado!Z67="","",Estudio_Mercado!Z67)</f>
        <v>46439</v>
      </c>
      <c r="G68" s="517">
        <f>IF(Estudio_Mercado!Z67="","",Estudio_Mercado!AA67)</f>
        <v>2321950</v>
      </c>
      <c r="H68" s="518"/>
      <c r="I68" s="519" t="str">
        <f t="shared" si="0"/>
        <v/>
      </c>
      <c r="J68" s="520" t="str">
        <f t="shared" si="1"/>
        <v>No cumple</v>
      </c>
      <c r="K68" s="521">
        <f t="shared" si="2"/>
        <v>46439</v>
      </c>
      <c r="L68" s="520" t="str">
        <f t="shared" si="3"/>
        <v>No cumple</v>
      </c>
      <c r="M68" s="522" t="e">
        <f t="shared" si="4"/>
        <v>#VALUE!</v>
      </c>
    </row>
    <row r="69" spans="2:52" ht="45">
      <c r="B69" s="515">
        <v>59</v>
      </c>
      <c r="C69" s="546" t="str">
        <f>IF(Estudio_Mercado!C68="","",Estudio_Mercado!C68)</f>
        <v>METRO</v>
      </c>
      <c r="D69" s="516" t="str">
        <f>IF(Estudio_Mercado!D68="","",Estudio_Mercado!D68)</f>
        <v>especial para trabajos de modistería 
1 metro 
flexible </v>
      </c>
      <c r="E69" s="515">
        <f>IF(Estudio_Mercado!F68="","",Estudio_Mercado!F68)</f>
        <v>50</v>
      </c>
      <c r="F69" s="517">
        <f>IF(Estudio_Mercado!Z68="","",Estudio_Mercado!Z68)</f>
        <v>1213</v>
      </c>
      <c r="G69" s="517">
        <f>IF(Estudio_Mercado!Z68="","",Estudio_Mercado!AA68)</f>
        <v>60650</v>
      </c>
      <c r="H69" s="518"/>
      <c r="I69" s="519" t="str">
        <f t="shared" si="0"/>
        <v/>
      </c>
      <c r="J69" s="520" t="str">
        <f t="shared" si="1"/>
        <v>No cumple</v>
      </c>
      <c r="K69" s="521">
        <f t="shared" si="2"/>
        <v>1213</v>
      </c>
      <c r="L69" s="520" t="str">
        <f t="shared" si="3"/>
        <v>No cumple</v>
      </c>
      <c r="M69" s="522" t="e">
        <f t="shared" si="4"/>
        <v>#VALUE!</v>
      </c>
    </row>
    <row r="70" spans="2:52" ht="89.25">
      <c r="B70" s="515">
        <v>60</v>
      </c>
      <c r="C70" s="546" t="str">
        <f>IF(Estudio_Mercado!C69="","",Estudio_Mercado!C69)</f>
        <v>Maletín portátil para elementos de tejido </v>
      </c>
      <c r="D70" s="516" t="str">
        <f>IF(Estudio_Mercado!D69="","",Estudio_Mercado!D69)</f>
        <v>El bolso debe estar diseñado para elementos de tejido. 
Con múltiples bolsillos y compartimentos para guardar hilo, ganchillos, agujas, proyectos sin terminar y otros suministros de costura para tejer. 
El largo debe tener en cuenta que se pueda guardar las agujas de tejido: tejido a dos agujas  </v>
      </c>
      <c r="E70" s="515">
        <f>IF(Estudio_Mercado!F69="","",Estudio_Mercado!F69)</f>
        <v>50</v>
      </c>
      <c r="F70" s="517">
        <f>IF(Estudio_Mercado!Z69="","",Estudio_Mercado!Z69)</f>
        <v>83141</v>
      </c>
      <c r="G70" s="517">
        <f>IF(Estudio_Mercado!Z69="","",Estudio_Mercado!AA69)</f>
        <v>4157050</v>
      </c>
      <c r="H70" s="518"/>
      <c r="I70" s="519" t="str">
        <f t="shared" si="0"/>
        <v/>
      </c>
      <c r="J70" s="520" t="str">
        <f t="shared" si="1"/>
        <v>No cumple</v>
      </c>
      <c r="K70" s="521">
        <f t="shared" si="2"/>
        <v>83141</v>
      </c>
      <c r="L70" s="520" t="str">
        <f t="shared" si="3"/>
        <v>No cumple</v>
      </c>
      <c r="M70" s="522" t="e">
        <f t="shared" si="4"/>
        <v>#VALUE!</v>
      </c>
    </row>
    <row r="71" spans="2:52" ht="357">
      <c r="B71" s="515">
        <v>61</v>
      </c>
      <c r="C71" s="546" t="str">
        <f>IF(Estudio_Mercado!C70="","",Estudio_Mercado!C70)</f>
        <v>BOLSA PRESUPUESTAL HUERTAS CASERAS </v>
      </c>
      <c r="D71" s="516" t="str">
        <f>IF(Estudio_Mercado!D70="","",Estudio_Mercado!D70)</f>
        <v xml:space="preserve">Bolsa individual para adecuación e implementación de huertas domiciliarias 
Se dispondrá de una bolsa individual de monto agotable por valor máximo de SETECIENTOS CINCUENTA MIL ($750.000 M/CTE) por cada mujer beneficiaria, destinada exclusivamente a la adquisición de los elementos, materiales e insumos requeridos para la adecuación, instalación y puesta en funcionamiento de su huerta domiciliaria. 
La selección podrá incluir, según las necesidades identificadas, semillas, plántulas, sustratos, compost, contenedores, canastillas, elementos para riego, herramientas de jardinería, estructuras, mallas, polisombras, materiales para compostaje y demás elementos contemplados en el listado técnico aprobado. En ningún caso podrán adquirirse bienes diferentes a los previamente definidos y cotizados, salvo que exista una necesidad técnica debidamente justificada y se surta el procedimiento de aprobación correspondiente. Nota: La asignación de esta bolsa responderá a las condiciones particulares de cada vivienda, por lo cual su ejecución no será uniforme ni automática. Previamente, durante la primera visita domiciliaria, el equipo profesional deberá realizar el levantamiento técnico del espacio disponible, incluyendo medidas, condiciones de iluminación, acceso a agua, tipo de superficie, distribución y demás características relevantes para determinar el tipo de huerta viable en cada hogar. Con base en este diagnóstico, la beneficiaria, acompañada por el equipo técnico, podrá seleccionar los elementos que requiera dentro del listado de bienes, materiales e insumos previamente cotizados, aprobados e incorporados en el estudio de mercado del proceso. </v>
      </c>
      <c r="E71" s="515">
        <f>IF(Estudio_Mercado!F70="","",Estudio_Mercado!F70)</f>
        <v>1</v>
      </c>
      <c r="F71" s="517" t="str">
        <f>IF(Estudio_Mercado!Z70="","",Estudio_Mercado!Z70)</f>
        <v/>
      </c>
      <c r="G71" s="517">
        <v>37500000</v>
      </c>
      <c r="H71" s="518"/>
      <c r="I71" s="519" t="str">
        <f t="shared" si="0"/>
        <v/>
      </c>
      <c r="J71" s="520" t="str">
        <f t="shared" si="1"/>
        <v>No cumple</v>
      </c>
      <c r="K71" s="521" t="e">
        <f t="shared" si="2"/>
        <v>#VALUE!</v>
      </c>
      <c r="L71" s="520" t="str">
        <f t="shared" si="3"/>
        <v>No cumple</v>
      </c>
      <c r="M71" s="522" t="e">
        <f t="shared" si="4"/>
        <v>#VALUE!</v>
      </c>
      <c r="N71" s="490" t="s">
        <v>1629</v>
      </c>
    </row>
    <row r="72" spans="2:52" ht="104.25">
      <c r="B72" s="515">
        <v>62</v>
      </c>
      <c r="C72" s="546" t="str">
        <f>IF(Estudio_Mercado!C71="","",Estudio_Mercado!C71)</f>
        <v>Agendas con esfero</v>
      </c>
      <c r="D72" s="516" t="str">
        <f>IF(Estudio_Mercado!D71="","",Estudio_Mercado!D71)</f>
        <v>Agenda:  Tamaño cuaderno (21,5 x 14 cm), 80 hojas internas  papel bond 76 gms impresas a una tinta (1x2)  hojas cuadriculadas, tapa dura, full color, plastificada, anillo doble.
Esfero: Bolígrafo plástico tinta negra Medidas: 14.5 cm, con sistema retráctil.</v>
      </c>
      <c r="E72" s="515">
        <f>IF(Estudio_Mercado!F71="","",Estudio_Mercado!F71)</f>
        <v>50</v>
      </c>
      <c r="F72" s="517">
        <f>IF(Estudio_Mercado!Z71="","",Estudio_Mercado!Z71)</f>
        <v>32970</v>
      </c>
      <c r="G72" s="517">
        <f>IF(Estudio_Mercado!Z71="","",Estudio_Mercado!AA71)</f>
        <v>1648500</v>
      </c>
      <c r="H72" s="518"/>
      <c r="I72" s="519" t="str">
        <f t="shared" si="0"/>
        <v/>
      </c>
      <c r="J72" s="520" t="str">
        <f t="shared" si="1"/>
        <v>No cumple</v>
      </c>
      <c r="K72" s="521">
        <f t="shared" si="2"/>
        <v>32970</v>
      </c>
      <c r="L72" s="520" t="str">
        <f t="shared" si="3"/>
        <v>No cumple</v>
      </c>
      <c r="M72" s="522" t="e">
        <f t="shared" si="4"/>
        <v>#VALUE!</v>
      </c>
    </row>
    <row r="73" spans="2:52" ht="45">
      <c r="B73" s="515">
        <v>63</v>
      </c>
      <c r="C73" s="546" t="str">
        <f>IF(Estudio_Mercado!C72="","",Estudio_Mercado!C72)</f>
        <v>Gramera Digital  </v>
      </c>
      <c r="D73" s="516" t="str">
        <f>IF(Estudio_Mercado!D72="","",Estudio_Mercado!D72)</f>
        <v>Color: Gris plata o blanco. Forma: Rectangular con plataforma de plástico, cristal templado o acero. Medidas: 20cm x 15cm x 3cm. Detalle: Sensor de alta precisión, capacidad máx 5kg, graduación 1g. Pantalla LCD retroiluminada.  </v>
      </c>
      <c r="E73" s="515">
        <f>IF(Estudio_Mercado!F72="","",Estudio_Mercado!F72)</f>
        <v>100</v>
      </c>
      <c r="F73" s="517">
        <f>IF(Estudio_Mercado!Z72="","",Estudio_Mercado!Z72)</f>
        <v>66130</v>
      </c>
      <c r="G73" s="517">
        <f>IF(Estudio_Mercado!Z72="","",Estudio_Mercado!AA72)</f>
        <v>6613000</v>
      </c>
      <c r="H73" s="518"/>
      <c r="I73" s="519" t="str">
        <f t="shared" si="0"/>
        <v/>
      </c>
      <c r="J73" s="520" t="str">
        <f t="shared" si="1"/>
        <v>No cumple</v>
      </c>
      <c r="K73" s="521">
        <f t="shared" si="2"/>
        <v>66130</v>
      </c>
      <c r="L73" s="520" t="str">
        <f t="shared" si="3"/>
        <v>No cumple</v>
      </c>
      <c r="M73" s="522" t="e">
        <f t="shared" si="4"/>
        <v>#VALUE!</v>
      </c>
      <c r="AZ73" s="490">
        <v>21</v>
      </c>
    </row>
    <row r="74" spans="2:52" ht="60">
      <c r="B74" s="515">
        <v>64</v>
      </c>
      <c r="C74" s="546" t="str">
        <f>IF(Estudio_Mercado!C73="","",Estudio_Mercado!C73)</f>
        <v>Batidora de Mano  </v>
      </c>
      <c r="D74" s="516" t="str">
        <f>IF(Estudio_Mercado!D73="","",Estudio_Mercado!D73)</f>
        <v>Color: Blanco o Negro con acabados en acero. Forma: Ergonómica con mango antideslizante. Medidas: 19cm x 8cm x 15cm. Detalle: Motor de 250W a 300W, 5 velocidades + función Turbo. Incluye 2 batidores de alambre y 2 ganchos amasadores de acero inoxidable.  </v>
      </c>
      <c r="E74" s="515">
        <f>IF(Estudio_Mercado!F73="","",Estudio_Mercado!F73)</f>
        <v>100</v>
      </c>
      <c r="F74" s="517">
        <f>IF(Estudio_Mercado!Z73="","",Estudio_Mercado!Z73)</f>
        <v>133233</v>
      </c>
      <c r="G74" s="517">
        <f>IF(Estudio_Mercado!Z73="","",Estudio_Mercado!AA73)</f>
        <v>13323300</v>
      </c>
      <c r="H74" s="518"/>
      <c r="I74" s="519" t="str">
        <f t="shared" si="0"/>
        <v/>
      </c>
      <c r="J74" s="520" t="str">
        <f t="shared" si="1"/>
        <v>No cumple</v>
      </c>
      <c r="K74" s="521">
        <f t="shared" si="2"/>
        <v>133233</v>
      </c>
      <c r="L74" s="520" t="str">
        <f t="shared" si="3"/>
        <v>No cumple</v>
      </c>
      <c r="M74" s="522" t="e">
        <f t="shared" si="4"/>
        <v>#VALUE!</v>
      </c>
      <c r="AZ74" s="490">
        <v>22</v>
      </c>
    </row>
    <row r="75" spans="2:52" ht="45">
      <c r="B75" s="515">
        <v>65</v>
      </c>
      <c r="C75" s="546" t="str">
        <f>IF(Estudio_Mercado!C74="","",Estudio_Mercado!C74)</f>
        <v xml:space="preserve">Molde repostería 20cm </v>
      </c>
      <c r="D75" s="516" t="str">
        <f>IF(Estudio_Mercado!D74="","",Estudio_Mercado!D74)</f>
        <v>Color: Gris metálico mate. Forma: Circular cilíndrica de bordes rectos. Medidas: Diámetro: 20cm; altura de 8cm cada uno. Detalle: Aluminio reforzado calibre 18, sin costuras, alta transferencia térmica.  </v>
      </c>
      <c r="E75" s="515">
        <f>IF(Estudio_Mercado!F74="","",Estudio_Mercado!F74)</f>
        <v>100</v>
      </c>
      <c r="F75" s="517">
        <f>IF(Estudio_Mercado!Z74="","",Estudio_Mercado!Z74)</f>
        <v>20302</v>
      </c>
      <c r="G75" s="517">
        <f>IF(Estudio_Mercado!Z74="","",Estudio_Mercado!AA74)</f>
        <v>2030200</v>
      </c>
      <c r="H75" s="518"/>
      <c r="I75" s="519" t="str">
        <f t="shared" si="0"/>
        <v/>
      </c>
      <c r="J75" s="520" t="str">
        <f t="shared" si="1"/>
        <v>No cumple</v>
      </c>
      <c r="K75" s="521">
        <f t="shared" si="2"/>
        <v>20302</v>
      </c>
      <c r="L75" s="520" t="str">
        <f t="shared" si="3"/>
        <v>No cumple</v>
      </c>
      <c r="M75" s="522" t="e">
        <f t="shared" si="4"/>
        <v>#VALUE!</v>
      </c>
      <c r="AZ75" s="490">
        <v>23</v>
      </c>
    </row>
    <row r="76" spans="2:52" ht="45">
      <c r="B76" s="515">
        <v>66</v>
      </c>
      <c r="C76" s="546" t="str">
        <f>IF(Estudio_Mercado!C75="","",Estudio_Mercado!C75)</f>
        <v>Molde repostería  24cm</v>
      </c>
      <c r="D76" s="516" t="str">
        <f>IF(Estudio_Mercado!D75="","",Estudio_Mercado!D75)</f>
        <v>Color: Gris metálico mate. Forma: Circular cilíndrica de bordes rectos. Medidas: Diámetro: 24cm; altura de 8cm cada uno. Detalle: Aluminio reforzado calibre 18, sin costuras, alta transferencia térmica.  </v>
      </c>
      <c r="E76" s="515">
        <f>IF(Estudio_Mercado!F75="","",Estudio_Mercado!F75)</f>
        <v>100</v>
      </c>
      <c r="F76" s="517">
        <f>IF(Estudio_Mercado!Z75="","",Estudio_Mercado!Z75)</f>
        <v>16782</v>
      </c>
      <c r="G76" s="517">
        <f>IF(Estudio_Mercado!Z75="","",Estudio_Mercado!AA75)</f>
        <v>1678200</v>
      </c>
      <c r="H76" s="542"/>
      <c r="I76" s="519" t="str">
        <f t="shared" ref="I76:I89" si="5">IF(H76="","",H76*E76)</f>
        <v/>
      </c>
      <c r="J76" s="543"/>
      <c r="K76" s="544"/>
      <c r="L76" s="543"/>
      <c r="M76" s="545"/>
    </row>
    <row r="77" spans="2:52" ht="45">
      <c r="B77" s="515">
        <v>67</v>
      </c>
      <c r="C77" s="546" t="str">
        <f>IF(Estudio_Mercado!C76="","",Estudio_Mercado!C76)</f>
        <v>Espátula de Codo  </v>
      </c>
      <c r="D77" s="516" t="str">
        <f>IF(Estudio_Mercado!D76="","",Estudio_Mercado!D76)</f>
        <v>Color: Hoja plata, mango negro. Forma: Hoja de acero con ángulo de quiebre (codo) y punta redondeada. Medidas: Hoja de 8 pulgadas (20cm), largo total 33cm. Detalle: Acero inoxidable flexible, mango de polipropileno texturizado.  </v>
      </c>
      <c r="E77" s="515">
        <f>IF(Estudio_Mercado!F76="","",Estudio_Mercado!F76)</f>
        <v>100</v>
      </c>
      <c r="F77" s="517">
        <f>IF(Estudio_Mercado!Z76="","",Estudio_Mercado!Z76)</f>
        <v>55187</v>
      </c>
      <c r="G77" s="517">
        <f>IF(Estudio_Mercado!Z76="","",Estudio_Mercado!AA76)</f>
        <v>5518700</v>
      </c>
      <c r="H77" s="542"/>
      <c r="I77" s="519" t="str">
        <f t="shared" si="5"/>
        <v/>
      </c>
      <c r="J77" s="543"/>
      <c r="K77" s="544"/>
      <c r="L77" s="543"/>
      <c r="M77" s="545"/>
    </row>
    <row r="78" spans="2:52" ht="45">
      <c r="B78" s="515">
        <v>68</v>
      </c>
      <c r="C78" s="546" t="str">
        <f>IF(Estudio_Mercado!C77="","",Estudio_Mercado!C77)</f>
        <v>Kit de Boquillas  </v>
      </c>
      <c r="D78" s="516" t="str">
        <f>IF(Estudio_Mercado!D77="","",Estudio_Mercado!D77)</f>
        <v>Color: Plata. Forma: Cónica con diversos cortes de punta. Medidas: Altura 3cm, base 1.8cm. Detalle: Set x24 boquillas en acero inoxidable 304 (sin costura) + 1 acoplador de plástico ABS reforzado.  </v>
      </c>
      <c r="E78" s="515">
        <f>IF(Estudio_Mercado!F77="","",Estudio_Mercado!F77)</f>
        <v>100</v>
      </c>
      <c r="F78" s="517">
        <f>IF(Estudio_Mercado!Z77="","",Estudio_Mercado!Z77)</f>
        <v>180235</v>
      </c>
      <c r="G78" s="517">
        <f>IF(Estudio_Mercado!Z77="","",Estudio_Mercado!AA77)</f>
        <v>18023500</v>
      </c>
      <c r="H78" s="542"/>
      <c r="I78" s="519" t="str">
        <f t="shared" si="5"/>
        <v/>
      </c>
      <c r="J78" s="543"/>
      <c r="K78" s="544"/>
      <c r="L78" s="543"/>
      <c r="M78" s="545"/>
    </row>
    <row r="79" spans="2:52" ht="45">
      <c r="B79" s="515">
        <v>69</v>
      </c>
      <c r="C79" s="546" t="str">
        <f>IF(Estudio_Mercado!C78="","",Estudio_Mercado!C78)</f>
        <v>Mangas Pasteleras  </v>
      </c>
      <c r="D79" s="516" t="str">
        <f>IF(Estudio_Mercado!D78="","",Estudio_Mercado!D78)</f>
        <v>Color: Transparente. Forma: Triangular (cono). Medidas: 12 pulgadas (30cm de largo). Detalle: Rollo x100 unidades desechables, material polietileno de baja densidad (LDPE) antideslizante por fuera y suave por dentro.  </v>
      </c>
      <c r="E79" s="515">
        <f>IF(Estudio_Mercado!F78="","",Estudio_Mercado!F78)</f>
        <v>100</v>
      </c>
      <c r="F79" s="517">
        <f>IF(Estudio_Mercado!Z78="","",Estudio_Mercado!Z78)</f>
        <v>47867</v>
      </c>
      <c r="G79" s="517">
        <f>IF(Estudio_Mercado!Z78="","",Estudio_Mercado!AA78)</f>
        <v>4786700</v>
      </c>
      <c r="H79" s="542"/>
      <c r="I79" s="519" t="str">
        <f t="shared" si="5"/>
        <v/>
      </c>
      <c r="J79" s="543"/>
      <c r="K79" s="544"/>
      <c r="L79" s="543"/>
      <c r="M79" s="545"/>
    </row>
    <row r="80" spans="2:52" ht="45">
      <c r="B80" s="515">
        <v>70</v>
      </c>
      <c r="C80" s="546" t="str">
        <f>IF(Estudio_Mercado!C79="","",Estudio_Mercado!C79)</f>
        <v>Termómetro Digital  </v>
      </c>
      <c r="D80" s="516" t="str">
        <f>IF(Estudio_Mercado!D79="","",Estudio_Mercado!D79)</f>
        <v>Color: Negro o Rojo. Forma: Tipo pluma con sonda larga. Medidas: Sonda de 14.5cm, largo total 23cm. Detalle: Rango de -50°C a 300°C. Pantalla digital LCD, lectura en 5 segundos, sonda de acero inoxidable 304.  </v>
      </c>
      <c r="E80" s="515">
        <f>IF(Estudio_Mercado!F79="","",Estudio_Mercado!F79)</f>
        <v>100</v>
      </c>
      <c r="F80" s="517">
        <f>IF(Estudio_Mercado!Z79="","",Estudio_Mercado!Z79)</f>
        <v>28200</v>
      </c>
      <c r="G80" s="517">
        <f>IF(Estudio_Mercado!Z79="","",Estudio_Mercado!AA79)</f>
        <v>2820000</v>
      </c>
      <c r="H80" s="542"/>
      <c r="I80" s="519" t="str">
        <f t="shared" si="5"/>
        <v/>
      </c>
      <c r="J80" s="543"/>
      <c r="K80" s="544"/>
      <c r="L80" s="543"/>
      <c r="M80" s="545"/>
    </row>
    <row r="81" spans="2:14" ht="134.25">
      <c r="B81" s="515">
        <v>71</v>
      </c>
      <c r="C81" s="546" t="str">
        <f>IF(Estudio_Mercado!C80="","",Estudio_Mercado!C80)</f>
        <v>Bowl de Mezcla  </v>
      </c>
      <c r="D81" s="516" t="str">
        <f>IF(Estudio_Mercado!D80="","",Estudio_Mercado!D80)</f>
        <v>Bowl en acero inoxidable de grado alimenticio, con capacidad mínima de 1,5 litros, diámetro aproximado de 16 cm (± 2 cm), elaborado en acero inoxidable resistente a la corrosión, de acabado liso y bordes redondeados para facilitar su limpieza. Debe contar con borde antiderrame o borde reforzado que permita un vertido seguro de líquidos y mezclas, base estable que reduzca el deslizamiento durante su uso, apto para contacto con alimentos, reutilizable, de fácil lavado y desinfección, resistente a impactos y deformaciones ocasionadas por el uso frecuente. El elemento deberá ser nuevo, libre de defectos de fabricación, de primera calidad y cumplir con las condiciones sanitarias aplicables para utensilios destinados al contacto con alimentos.</v>
      </c>
      <c r="E81" s="515">
        <f>IF(Estudio_Mercado!F80="","",Estudio_Mercado!F80)</f>
        <v>100</v>
      </c>
      <c r="F81" s="517">
        <f>IF(Estudio_Mercado!Z80="","",Estudio_Mercado!Z80)</f>
        <v>13882</v>
      </c>
      <c r="G81" s="517">
        <f>IF(Estudio_Mercado!Z80="","",Estudio_Mercado!AA80)</f>
        <v>1388200</v>
      </c>
      <c r="H81" s="542"/>
      <c r="I81" s="519" t="str">
        <f t="shared" si="5"/>
        <v/>
      </c>
      <c r="J81" s="543"/>
      <c r="K81" s="544"/>
      <c r="L81" s="543"/>
      <c r="M81" s="545"/>
    </row>
    <row r="82" spans="2:14" ht="45">
      <c r="B82" s="515">
        <v>72</v>
      </c>
      <c r="C82" s="546" t="str">
        <f>IF(Estudio_Mercado!C81="","",Estudio_Mercado!C81)</f>
        <v>Batidor de Globo  </v>
      </c>
      <c r="D82" s="516" t="str">
        <f>IF(Estudio_Mercado!D81="","",Estudio_Mercado!D81)</f>
        <v>Color: Plata. Forma: Pera con varillas entrelazadas. Medidas: Largo total 30cm, diámetro del globo 7cm. Detalle: 12 varillas de acero inoxidable de 2mm de grosor, mango sellado higiénico.  </v>
      </c>
      <c r="E82" s="515">
        <f>IF(Estudio_Mercado!F81="","",Estudio_Mercado!F81)</f>
        <v>100</v>
      </c>
      <c r="F82" s="517">
        <f>IF(Estudio_Mercado!Z81="","",Estudio_Mercado!Z81)</f>
        <v>19767</v>
      </c>
      <c r="G82" s="517">
        <f>IF(Estudio_Mercado!Z81="","",Estudio_Mercado!AA81)</f>
        <v>1976700</v>
      </c>
      <c r="H82" s="542"/>
      <c r="I82" s="519" t="str">
        <f t="shared" si="5"/>
        <v/>
      </c>
      <c r="J82" s="543"/>
      <c r="K82" s="544"/>
      <c r="L82" s="543"/>
      <c r="M82" s="545"/>
    </row>
    <row r="83" spans="2:14" ht="45">
      <c r="B83" s="515">
        <v>73</v>
      </c>
      <c r="C83" s="546" t="str">
        <f>IF(Estudio_Mercado!C82="","",Estudio_Mercado!C82)</f>
        <v>Cuchillo de Chef  </v>
      </c>
      <c r="D83" s="516" t="str">
        <f>IF(Estudio_Mercado!D82="","",Estudio_Mercado!D82)</f>
        <v>Color: Hoja plata, mango negro. Forma: Hoja ancha de base curva (tipo alemán). aproximados de medidas: Hoja de 8 pulgadas (20cm), largo total 33cm. Detalle: Acero inoxidable de alto carbono, espiga completa (Full Tang) con remaches de acero.  </v>
      </c>
      <c r="E83" s="515">
        <f>IF(Estudio_Mercado!F82="","",Estudio_Mercado!F82)</f>
        <v>100</v>
      </c>
      <c r="F83" s="517">
        <f>IF(Estudio_Mercado!Z82="","",Estudio_Mercado!Z82)</f>
        <v>196597</v>
      </c>
      <c r="G83" s="517">
        <f>IF(Estudio_Mercado!Z82="","",Estudio_Mercado!AA82)</f>
        <v>19659700</v>
      </c>
      <c r="H83" s="542"/>
      <c r="I83" s="519" t="str">
        <f t="shared" si="5"/>
        <v/>
      </c>
      <c r="J83" s="543"/>
      <c r="K83" s="544"/>
      <c r="L83" s="543"/>
      <c r="M83" s="545"/>
    </row>
    <row r="84" spans="2:14" ht="134.25">
      <c r="B84" s="515">
        <v>74</v>
      </c>
      <c r="C84" s="546" t="str">
        <f>IF(Estudio_Mercado!C83="","",Estudio_Mercado!C83)</f>
        <v>Auditorio 500 personas</v>
      </c>
      <c r="D84" s="516" t="str">
        <f>IF(Estudio_Mercado!D83="","",Estudio_Mercado!D83)</f>
        <v>"Alquiler salón de conferencias
Jornada completa
Capacidad para 500 personas. 
- sillas tapizadas
- Sistema de sonido, computador portátil y video beam
- 1 tablero
- Baños equipados (Jabón, Papel y Papeleras)
-Accesos para personas con discapacidad
-Servicio de Vigilancia y aseo"</v>
      </c>
      <c r="E84" s="515">
        <f>IF(Estudio_Mercado!F83="","",Estudio_Mercado!F83)</f>
        <v>1</v>
      </c>
      <c r="F84" s="517">
        <f>IF(Estudio_Mercado!Z83="","",Estudio_Mercado!Z83)</f>
        <v>3776316</v>
      </c>
      <c r="G84" s="517">
        <f>IF(Estudio_Mercado!Z83="","",Estudio_Mercado!AA83)</f>
        <v>3776316</v>
      </c>
      <c r="H84" s="542"/>
      <c r="I84" s="519" t="str">
        <f t="shared" si="5"/>
        <v/>
      </c>
      <c r="J84" s="543"/>
      <c r="K84" s="544"/>
      <c r="L84" s="543"/>
      <c r="M84" s="545"/>
    </row>
    <row r="85" spans="2:14" ht="30">
      <c r="B85" s="515">
        <v>75</v>
      </c>
      <c r="C85" s="546" t="str">
        <f>IF(Estudio_Mercado!C84="","",Estudio_Mercado!C84)</f>
        <v>Certificado de participación</v>
      </c>
      <c r="D85" s="516" t="str">
        <f>IF(Estudio_Mercado!D84="","",Estudio_Mercado!D84)</f>
        <v>Impresión a media carta 4 tintas en papel  propalcote o kimberly 200 gr, tamaño 22x28 cm con nombres individuales o espacio para el mismo, refilados. </v>
      </c>
      <c r="E85" s="515">
        <f>IF(Estudio_Mercado!F84="","",Estudio_Mercado!F84)</f>
        <v>100</v>
      </c>
      <c r="F85" s="517">
        <f>IF(Estudio_Mercado!Z84="","",Estudio_Mercado!Z84)</f>
        <v>3206</v>
      </c>
      <c r="G85" s="517">
        <f>IF(Estudio_Mercado!Z84="","",Estudio_Mercado!AA84)</f>
        <v>320600</v>
      </c>
      <c r="H85" s="542"/>
      <c r="I85" s="519" t="str">
        <f t="shared" si="5"/>
        <v/>
      </c>
      <c r="J85" s="543"/>
      <c r="K85" s="544"/>
      <c r="L85" s="543"/>
      <c r="M85" s="545"/>
    </row>
    <row r="86" spans="2:14" ht="45">
      <c r="B86" s="515">
        <v>76</v>
      </c>
      <c r="C86" s="546" t="str">
        <f>IF(Estudio_Mercado!C85="","",Estudio_Mercado!C85)</f>
        <v>Estación de Café tipo 2</v>
      </c>
      <c r="D86" s="516" t="str">
        <f>IF(Estudio_Mercado!D85="","",Estudio_Mercado!D85)</f>
        <v>Servicio de cafetería para 100 personas (tinto, aromática y agua): Operario + presentación mesa + vasos de cartón bebida caliente 4 oz. + mezclador + azúcar + crema para café. Duración del evento aprox. 6 horas. Transporte incluido </v>
      </c>
      <c r="E86" s="515">
        <f>IF(Estudio_Mercado!F85="","",Estudio_Mercado!F85)</f>
        <v>2</v>
      </c>
      <c r="F86" s="517">
        <f>IF(Estudio_Mercado!Z85="","",Estudio_Mercado!Z85)</f>
        <v>1159100</v>
      </c>
      <c r="G86" s="517">
        <f>IF(Estudio_Mercado!Z85="","",Estudio_Mercado!AA85)</f>
        <v>2318200</v>
      </c>
      <c r="H86" s="542"/>
      <c r="I86" s="519" t="str">
        <f t="shared" si="5"/>
        <v/>
      </c>
      <c r="J86" s="543"/>
      <c r="K86" s="544"/>
      <c r="L86" s="543"/>
      <c r="M86" s="545"/>
    </row>
    <row r="87" spans="2:14" ht="30">
      <c r="B87" s="515">
        <v>77</v>
      </c>
      <c r="C87" s="546" t="str">
        <f>IF(Estudio_Mercado!C86="","",Estudio_Mercado!C86)</f>
        <v xml:space="preserve">curso de pastelería </v>
      </c>
      <c r="D87" s="516" t="str">
        <f>IF(Estudio_Mercado!D86="","",Estudio_Mercado!D86)</f>
        <v>curso de pastelería con duración entre 30-50 horas presencial que incluya elementos para llevar acabo el curso y cocina para mujeres</v>
      </c>
      <c r="E87" s="515">
        <f>IF(Estudio_Mercado!F86="","",Estudio_Mercado!F86)</f>
        <v>100</v>
      </c>
      <c r="F87" s="517">
        <f>IF(Estudio_Mercado!Z86="","",Estudio_Mercado!Z86)</f>
        <v>2411667</v>
      </c>
      <c r="G87" s="517">
        <f>IF(Estudio_Mercado!Z86="","",Estudio_Mercado!AA86)</f>
        <v>241166700</v>
      </c>
      <c r="H87" s="542"/>
      <c r="I87" s="519" t="str">
        <f t="shared" si="5"/>
        <v/>
      </c>
      <c r="J87" s="543"/>
      <c r="K87" s="544"/>
      <c r="L87" s="543"/>
      <c r="M87" s="545"/>
    </row>
    <row r="88" spans="2:14" ht="134.25">
      <c r="B88" s="515">
        <v>78</v>
      </c>
      <c r="C88" s="546" t="str">
        <f>IF(Estudio_Mercado!C87="","",Estudio_Mercado!C87)</f>
        <v xml:space="preserve">BOLSA DE CAPITALIZACIÓN EN ESPECIE PARA MUJERES EMPRENDEDORAS </v>
      </c>
      <c r="D88" s="516" t="str">
        <f>IF(Estudio_Mercado!D87="","",Estudio_Mercado!D87)</f>
        <v xml:space="preserve">Una (1) bolsa para 50 iniciativas. $150.000.000, equivalente hasta a $3.000.000 por emprendimiento, incluidos impuestos.   Esto elementos están distribuidos en herramientas tecnológicas, maquinaria, equipos, materiales, insumos productivos y elementos pedagógicos para consumo incluido el transporte e impuestos.  
Nota: teniendo en cuenta que cada emprendimiento presenta condiciones, actividades económicas, niveles de desarrollo y necesidades de fortalecimiento diferentes. En consecuencia, no resulta técnicamente procedente predeterminar un mismo conjunto de elementos para todas las beneficiarias, dado que los requerimientos deberán establecerse a partir del diagnóstico y plan de cada emprendedora. </v>
      </c>
      <c r="E88" s="515">
        <f>IF(Estudio_Mercado!F87="","",Estudio_Mercado!F87)</f>
        <v>50</v>
      </c>
      <c r="F88" s="517" t="str">
        <f>IF(Estudio_Mercado!Z87="","",Estudio_Mercado!Z87)</f>
        <v/>
      </c>
      <c r="G88" s="517">
        <v>150000000</v>
      </c>
      <c r="H88" s="542"/>
      <c r="I88" s="519" t="str">
        <f t="shared" si="5"/>
        <v/>
      </c>
      <c r="J88" s="543"/>
      <c r="K88" s="544"/>
      <c r="L88" s="543"/>
      <c r="M88" s="545"/>
      <c r="N88" s="490" t="s">
        <v>1629</v>
      </c>
    </row>
    <row r="89" spans="2:14" ht="193.5">
      <c r="B89" s="515">
        <v>79</v>
      </c>
      <c r="C89" s="546" t="str">
        <f>IF(Estudio_Mercado!C88="","",Estudio_Mercado!C88)</f>
        <v>BOLSA TRANSVERSAL PARA MATERIALES Y ELEMENTOS  </v>
      </c>
      <c r="D89" s="516" t="str">
        <f>IF(Estudio_Mercado!D88="","",Estudio_Mercado!D88)</f>
        <v xml:space="preserve">Se dispondrá de una (1) bolsa destinada a cubrir materiales, insumos y herramientas requeridos para el desarrollo de las actividades pedagógicas, artísticas y prácticas, incluyendo papelería, material didáctico, mapas y cartografías, elementos para simulaciones y trabajo grupal, insumos de crochet, ingredientes y utensilios de repostería, herramientas menores, elementos de medición, almacenamiento, organización y demás recursos definidos en las actividades definidas en los diferentes componentes. 
Nota: la bolsa se requiere debido a que el Anexo Técnico contempla diversas alternativas metodológicas (incluidas ocho (8) metodologías o posibilidades de intervención (de acuerdo con los 8 derechos y actividades diversas en los demás componentes) cuya selección definitiva dependerá de las necesidades territoriales, intereses de las participantes y fichas metodológicas que sean aprobadas durante la ejecución. </v>
      </c>
      <c r="E89" s="515">
        <f>IF(Estudio_Mercado!F88="","",Estudio_Mercado!F88)</f>
        <v>1</v>
      </c>
      <c r="F89" s="517" t="str">
        <f>IF(Estudio_Mercado!Z88="","",Estudio_Mercado!Z88)</f>
        <v/>
      </c>
      <c r="G89" s="517">
        <v>36968650</v>
      </c>
      <c r="H89" s="542"/>
      <c r="I89" s="519" t="str">
        <f t="shared" si="5"/>
        <v/>
      </c>
      <c r="J89" s="543"/>
      <c r="K89" s="544"/>
      <c r="L89" s="543"/>
      <c r="M89" s="545"/>
      <c r="N89" s="490" t="s">
        <v>1629</v>
      </c>
    </row>
    <row r="90" spans="2:14">
      <c r="B90" s="547" t="s">
        <v>1630</v>
      </c>
      <c r="C90" s="523"/>
      <c r="D90" s="523"/>
      <c r="E90" s="523"/>
      <c r="F90" s="523"/>
      <c r="G90" s="523"/>
      <c r="H90" s="524">
        <f>SUM(H11:H75)</f>
        <v>0</v>
      </c>
      <c r="I90" s="525"/>
      <c r="J90" s="526"/>
      <c r="K90" s="526"/>
      <c r="L90" s="526"/>
      <c r="M90" s="527"/>
    </row>
    <row r="91" spans="2:14">
      <c r="B91" s="528" t="s">
        <v>15</v>
      </c>
      <c r="C91" s="529"/>
      <c r="D91" s="529"/>
      <c r="E91" s="529"/>
      <c r="F91" s="528" t="s">
        <v>15</v>
      </c>
      <c r="G91" s="529"/>
      <c r="H91" s="529"/>
      <c r="I91" s="529"/>
      <c r="J91" s="529"/>
      <c r="K91" s="529"/>
      <c r="L91" s="529"/>
      <c r="M91" s="530"/>
    </row>
    <row r="92" spans="2:14">
      <c r="B92" s="531"/>
      <c r="C92" s="532"/>
      <c r="D92" s="532"/>
      <c r="E92" s="532"/>
      <c r="F92" s="531"/>
      <c r="G92" s="532"/>
      <c r="H92" s="532"/>
      <c r="I92" s="532"/>
      <c r="J92" s="532"/>
      <c r="K92" s="532"/>
      <c r="L92" s="532"/>
      <c r="M92" s="533"/>
    </row>
    <row r="93" spans="2:14" ht="268.5">
      <c r="B93" s="515">
        <v>1</v>
      </c>
      <c r="C93" s="534" t="str">
        <f>Estudio_Mercado!C93</f>
        <v xml:space="preserve">Coordinadores (as) Generales del Proyecto. </v>
      </c>
      <c r="D93" s="534" t="str">
        <f>Estudio_Mercado!D93</f>
        <v xml:space="preserve">FORMACIÓN PROFESIONAL: Profesional en áreas del conocimiento correspondientes a las Ciencias Sociales y Humanas, Ciencias de la Educación, Economía, Administración o disciplinas afines, con título de posgrado en modalidad de especialización relacionado con gerencia de proyectos, gestión de proyectos, administración pública, desarrollo social, políticas públicas, estudios de género o áreas relacionadas con el objeto del contrato.
 EXPERIENCIA PROFESIONAL: 
Mínimo treinta y seis (36) meses de experiencia profesional certificada contados a partir de la obtención del título profesional.
EXPERIENCIA ESPECIFICA: Mínimo doce (12) meses de experiencia certificada como director(a), coordinador(a), gerente o líder de proyectos sociales relacionados con mujeres, enfoque de género, Política Pública de Mujeres y Equidad de Género, economía del cuidado, fortalecimiento de capacidades, autonomía económica, derechos humanos, desarrollo social o programas de carácter comunitario dirigidos a población vulnerable.
</v>
      </c>
      <c r="E93" s="515">
        <f>IF(Estudio_Mercado!F93="","",Estudio_Mercado!F93)</f>
        <v>2</v>
      </c>
      <c r="F93" s="535">
        <f>IF(Estudio_Mercado!I93="","",Estudio_Mercado!I93)</f>
        <v>7996001</v>
      </c>
      <c r="G93" s="535">
        <f>IF(Estudio_Mercado!J93="","",Estudio_Mercado!J93)</f>
        <v>159920020</v>
      </c>
      <c r="H93" s="536"/>
      <c r="I93" s="537"/>
      <c r="J93" s="520" t="str">
        <f t="shared" ref="J93:J98" si="6">IF(AND(G93&lt;&gt;0,G93&lt;&gt;""),IF(AND(E93&gt;=G93,G93&lt;&gt;0),"Cumple","No cumple"),"Valor vacío")</f>
        <v>No cumple</v>
      </c>
      <c r="K93" s="522">
        <f t="shared" ref="K93:K98" si="7">F93-H93</f>
        <v>7996001</v>
      </c>
      <c r="L93" s="520" t="str">
        <f t="shared" ref="L93:L98" si="8">IF(G93&gt;=I93,"Cumple","No cumple")</f>
        <v>Cumple</v>
      </c>
      <c r="M93" s="522">
        <f t="shared" ref="M93:M98" si="9">G93-I93</f>
        <v>159920020</v>
      </c>
    </row>
    <row r="94" spans="2:14" ht="253.5">
      <c r="B94" s="515">
        <v>2</v>
      </c>
      <c r="C94" s="534" t="str">
        <f>Estudio_Mercado!C94</f>
        <v>Profesionales Administrativos(as)</v>
      </c>
      <c r="D94" s="534" t="str">
        <f>Estudio_Mercado!D94</f>
        <v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doce (12) meses de experiencia profesional certificada contados a partir de la expedición de la tarjeta profesional cuando aplique o de la terminación y aprobación del pensum académico, conforme a la normativa vigente.
EXPERIENCIA ESPECÍFICA: Mínimo seis (6) meses de experiencia certificada en actividades de apoyo administrativo, operativo, técnico o de gestión en proyectos sociales, educativos, comunitarios o institucionales relacionados con temas de género, autonomía económica, fortalecimiento de capacidades, participación comunitaria, derechos humanos, Política Pública de Mujeres y Equidad de Género, economía del cuidado o programas sociales dirigidos a población vulnerable.
</v>
      </c>
      <c r="E94" s="515">
        <f>IF(Estudio_Mercado!F94="","",Estudio_Mercado!F94)</f>
        <v>4</v>
      </c>
      <c r="F94" s="535">
        <f>IF(Estudio_Mercado!I94="","",Estudio_Mercado!I94)</f>
        <v>5114001</v>
      </c>
      <c r="G94" s="535">
        <f>IF(Estudio_Mercado!J94="","",Estudio_Mercado!J94)</f>
        <v>184104036</v>
      </c>
      <c r="H94" s="536"/>
      <c r="I94" s="537"/>
      <c r="J94" s="520" t="str">
        <f t="shared" si="6"/>
        <v>No cumple</v>
      </c>
      <c r="K94" s="522">
        <f t="shared" si="7"/>
        <v>5114001</v>
      </c>
      <c r="L94" s="520" t="str">
        <f t="shared" si="8"/>
        <v>Cumple</v>
      </c>
      <c r="M94" s="522">
        <f t="shared" si="9"/>
        <v>184104036</v>
      </c>
    </row>
    <row r="95" spans="2:14" ht="119.25">
      <c r="B95" s="515">
        <v>3</v>
      </c>
      <c r="C95" s="534" t="str">
        <f>Estudio_Mercado!C95</f>
        <v>Auxiliares logísticos</v>
      </c>
      <c r="D95" s="534" t="str">
        <f>Estudio_Mercado!D95</f>
        <v>FORMACIÓN ACADÉMICA: Título bachiller debidamente certificado.
EXPERIENCIA LABORAL: Mínimo doce (12) meses de experiencia laboral certificada.
EXPERIENCIA ESPECIFICA: Mínimo doce (12) meses de experiencia relacionada con la organización y apoyo logístico de eventos, actividades comunitarias, jornadas de atención a la ciudadanía, procesos de formación, proyectos sociales, culturales, educativos o institucionales.</v>
      </c>
      <c r="E95" s="515">
        <f>IF(Estudio_Mercado!F95="","",Estudio_Mercado!F95)</f>
        <v>6</v>
      </c>
      <c r="F95" s="535">
        <f>IF(Estudio_Mercado!I95="","",Estudio_Mercado!I95)</f>
        <v>2146001</v>
      </c>
      <c r="G95" s="535">
        <f>IF(Estudio_Mercado!J95="","",Estudio_Mercado!J95)</f>
        <v>90132042</v>
      </c>
      <c r="H95" s="536"/>
      <c r="I95" s="537"/>
      <c r="J95" s="520" t="str">
        <f t="shared" si="6"/>
        <v>No cumple</v>
      </c>
      <c r="K95" s="522">
        <f t="shared" si="7"/>
        <v>2146001</v>
      </c>
      <c r="L95" s="520" t="str">
        <f t="shared" si="8"/>
        <v>Cumple</v>
      </c>
      <c r="M95" s="522">
        <f t="shared" si="9"/>
        <v>90132042</v>
      </c>
    </row>
    <row r="96" spans="2:14" ht="208.5">
      <c r="B96" s="515">
        <v>4</v>
      </c>
      <c r="C96" s="534" t="str">
        <f>Estudio_Mercado!C96</f>
        <v>Diseñador(a) Gráfico(a)</v>
      </c>
      <c r="D96" s="534" t="str">
        <f>Estudio_Mercado!D96</f>
        <v xml:space="preserve">FORMACIÓN PROFESIONAL: Profesional en Diseño Gráfico, Diseño Visual, Comunicación Gráfica, Publicidad, Comunicación Social con énfasis en diseño, Mercadeo o disciplinas afines pertenecientes a las áreas del conocimiento de Comunicación, Periodismo y Publicidad, Bellas Artes y/o Diseño, de conformidad con los Núcleos Básicos del Conocimiento reconocidos por el Ministerio de Educación Nacional.
EXPERIENCIA PROFESIONAL: Mínimo doce (12) meses de experiencia profesional certificada contados a partir de la obtención del título profesional.EXPERIENCIA ESPECÍFICA: Mínimo seis (6) meses de experiencia certificada en diseño, diagramación, producción de piezas gráficas, campañas de comunicación, material pedagógico, estrategias de divulgación, proyectos sociales, comunitarios, educativos o institucionales.
</v>
      </c>
      <c r="E96" s="515">
        <f>IF(Estudio_Mercado!F96="","",Estudio_Mercado!F96)</f>
        <v>1</v>
      </c>
      <c r="F96" s="535">
        <f>IF(Estudio_Mercado!I96="","",Estudio_Mercado!I96)</f>
        <v>5114001</v>
      </c>
      <c r="G96" s="535">
        <f>IF(Estudio_Mercado!J96="","",Estudio_Mercado!J96)</f>
        <v>35798007</v>
      </c>
      <c r="H96" s="536"/>
      <c r="I96" s="537"/>
      <c r="J96" s="520" t="str">
        <f t="shared" si="6"/>
        <v>No cumple</v>
      </c>
      <c r="K96" s="522">
        <f t="shared" si="7"/>
        <v>5114001</v>
      </c>
      <c r="L96" s="520" t="str">
        <f t="shared" si="8"/>
        <v>Cumple</v>
      </c>
      <c r="M96" s="522">
        <f t="shared" si="9"/>
        <v>35798007</v>
      </c>
    </row>
    <row r="97" spans="2:13" ht="89.25">
      <c r="B97" s="515">
        <v>5</v>
      </c>
      <c r="C97" s="534" t="str">
        <f>Estudio_Mercado!C97</f>
        <v>Gestores territoriales</v>
      </c>
      <c r="D97" s="534" t="str">
        <f>Estudio_Mercado!D97</f>
        <v xml:space="preserve">Gestores territoriales	FORMACIÓN ACADÉMICA: Bachiller académico debidamente certificado. 
EXPERIENCIA: No requiere experiencia específica.	12
(Dos por cada UPL)	1 mes
</v>
      </c>
      <c r="E97" s="515">
        <f>IF(Estudio_Mercado!F97="","",Estudio_Mercado!F97)</f>
        <v>6</v>
      </c>
      <c r="F97" s="535">
        <f>IF(Estudio_Mercado!I97="","",Estudio_Mercado!I97)</f>
        <v>1602000</v>
      </c>
      <c r="G97" s="535">
        <f>IF(Estudio_Mercado!J97="","",Estudio_Mercado!J97)</f>
        <v>9612000</v>
      </c>
      <c r="H97" s="536"/>
      <c r="I97" s="537"/>
      <c r="J97" s="520" t="str">
        <f t="shared" si="6"/>
        <v>No cumple</v>
      </c>
      <c r="K97" s="522">
        <f t="shared" si="7"/>
        <v>1602000</v>
      </c>
      <c r="L97" s="520" t="str">
        <f t="shared" si="8"/>
        <v>Cumple</v>
      </c>
      <c r="M97" s="522">
        <f t="shared" si="9"/>
        <v>9612000</v>
      </c>
    </row>
    <row r="98" spans="2:13" ht="208.5">
      <c r="B98" s="515">
        <v>6</v>
      </c>
      <c r="C98" s="534" t="str">
        <f>Estudio_Mercado!C98</f>
        <v>Coordinador(a) académica</v>
      </c>
      <c r="D98" s="534" t="str">
        <f>Estudio_Mercado!D98</f>
        <v xml:space="preserve">FORMACIÓN PROFESIONAL: Profesional en áreas del conocimiento correspondientes a las Ciencias Sociales y Humanas, Ciencias de la Educación, Bellas Artes, Economía, Administración y disciplinas afines, de conformidad con los Núcleos Básicos de Conocimiento reconocidos por el Ministerio de Educación Nacional.
EXPERIENCIA PROFESIONAL: Mínimo veinticuatro (24) meses de experiencia profesional certificada contados a partir de la obtención del título profesional.  
EXPERIENCIA ESPECIFICA: Mínimo doce (12) meses de experiencia certificada en coordinación académica, diseño curricular, ejecución o seguimiento de procesos de formación, capacitación o fortalecimiento dirigidos a mujeres, comunidades, organizaciones sociales o población vulnerable, en temas relacionados con enfoque de género, autonomía económica, emprendimiento, derechos humanos, participación ciudadana, Política Pública de Mujeres y Equidad de Género o desarrollo social.
</v>
      </c>
      <c r="E98" s="515">
        <f>IF(Estudio_Mercado!F98="","",Estudio_Mercado!F98)</f>
        <v>1</v>
      </c>
      <c r="F98" s="535">
        <f>IF(Estudio_Mercado!I98="","",Estudio_Mercado!I98)</f>
        <v>5860001</v>
      </c>
      <c r="G98" s="535">
        <f>IF(Estudio_Mercado!J98="","",Estudio_Mercado!J98)</f>
        <v>23440004</v>
      </c>
      <c r="H98" s="536"/>
      <c r="I98" s="537"/>
      <c r="J98" s="520" t="str">
        <f t="shared" si="6"/>
        <v>No cumple</v>
      </c>
      <c r="K98" s="522">
        <f t="shared" si="7"/>
        <v>5860001</v>
      </c>
      <c r="L98" s="520" t="str">
        <f t="shared" si="8"/>
        <v>Cumple</v>
      </c>
      <c r="M98" s="522">
        <f t="shared" si="9"/>
        <v>23440004</v>
      </c>
    </row>
    <row r="99" spans="2:13" ht="253.5">
      <c r="B99" s="515">
        <v>7</v>
      </c>
      <c r="C99" s="534" t="str">
        <f>Estudio_Mercado!C99</f>
        <v>Profesional Logístico y de Coordinación</v>
      </c>
      <c r="D99" s="534" t="str">
        <f>Estudio_Mercado!D99</f>
        <v xml:space="preserve">FORMACIÓN PROFESIONAL: Profesional en Administración de Empresas, Administración Turística y Hotelera, Ingeniería Industrial, Negocios Internacionales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ESPECÍFICA: Mínimo doce (12) meses de experiencia certificada en coordinación logística, planeación, organización y ejecución de eventos, encuentros comerciales, ruedas de negocio, ferias, salidas pedagógicas, misiones comerciales, actividades turísticas grupales o proyectos sociales con componentes de movilización y atención a población. 
Alternativamente, podrá acreditar participación en mínimo dos (2) proyectos en los que haya desempeñado funciones de coordinación logística, organización operativa o ejecución de actividades similares a las requeridas en el presente componente.
</v>
      </c>
      <c r="E99" s="515">
        <f>IF(Estudio_Mercado!F99="","",Estudio_Mercado!F99)</f>
        <v>2</v>
      </c>
      <c r="F99" s="535">
        <f>IF(Estudio_Mercado!I99="","",Estudio_Mercado!I99)</f>
        <v>5114001</v>
      </c>
      <c r="G99" s="535">
        <f>IF(Estudio_Mercado!J99="","",Estudio_Mercado!J99)</f>
        <v>20456004</v>
      </c>
      <c r="H99" s="548"/>
      <c r="I99" s="549"/>
      <c r="J99" s="543"/>
      <c r="K99" s="550"/>
      <c r="L99" s="543"/>
      <c r="M99" s="545"/>
    </row>
    <row r="100" spans="2:13" ht="193.5">
      <c r="B100" s="515">
        <v>8</v>
      </c>
      <c r="C100" s="534" t="str">
        <f>Estudio_Mercado!C100</f>
        <v xml:space="preserve">Auxiliar en enfermería </v>
      </c>
      <c r="D100" s="534" t="str">
        <f>Estudio_Mercado!D100</f>
        <v xml:space="preserve">FORMACIÓN PROFESIONAL: Título técnico laboral en enfermería perteneciente al Núcleo Básico del Conocimiento en Enfermería, con tarjeta profesional vigente cuando aplique y registro activo en el Registro Único Nacional del Talento Humano en Salud (RETHUS).
EXPERIENCIA PROFESIONAL: Mínimo seis (06)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v>
      </c>
      <c r="E100" s="515">
        <f>IF(Estudio_Mercado!F100="","",Estudio_Mercado!F100)</f>
        <v>2</v>
      </c>
      <c r="F100" s="535" t="str">
        <f>IF(Estudio_Mercado!I100="","",Estudio_Mercado!I100)</f>
        <v xml:space="preserve"> $ 3.224.001,00 </v>
      </c>
      <c r="G100" s="535">
        <f>IF(Estudio_Mercado!J100="","",Estudio_Mercado!J100)</f>
        <v>6448002</v>
      </c>
      <c r="H100" s="548"/>
      <c r="I100" s="549"/>
      <c r="J100" s="543"/>
      <c r="K100" s="550"/>
      <c r="L100" s="543"/>
      <c r="M100" s="545"/>
    </row>
    <row r="101" spans="2:13" ht="283.5">
      <c r="B101" s="515">
        <v>9</v>
      </c>
      <c r="C101" s="534" t="str">
        <f>Estudio_Mercado!C101</f>
        <v xml:space="preserve">Coordinador(a) de Estrategia Publicitaria y Digital  </v>
      </c>
      <c r="D101" s="534" t="str">
        <f>Estudio_Mercado!D101</f>
        <v xml:space="preserve">FORMACIÓN PROFESIONAL: Profesional en Publicidad, Mercadeo y Publicidad, Comunicación Social con énfasis en publicidad, medios digitales o comunicación estratégica, Mercadeo, Marketing Digital o disciplinas afines pertenecientes a los Núcleos Básicos de Conocimiento reconocidos por el Ministerio de Educación Nacional.
EXPERIENCIA PROFESIONAL: Mínimo dieciocho (18) meses de experiencia profesional certificada, contados a partir de la expedición de la tarjeta profesional cuando aplique o desde la obtención del título profesional.
EXPERIENCIA EXPECIFICA: Mínimo nueve (9) meses de experiencia certificada en la coordinación, formulación, ejecución, seguimiento o medición de campañas publicitarias, estrategias de comunicación, posicionamiento de marca, marketing digital o campañas comerciales.
Es indispensable que certifique la integración de estrategias físicas (OOH, BTL, material POP, PAUTA DIGITAL) con ecosistemas digitales, tales como landing pages, pauta segmentada y embudos de conversión a canales directos como WhatsApp.
</v>
      </c>
      <c r="E101" s="515">
        <f>IF(Estudio_Mercado!F101="","",Estudio_Mercado!F101)</f>
        <v>1</v>
      </c>
      <c r="F101" s="535">
        <f>IF(Estudio_Mercado!I101="","",Estudio_Mercado!I101)</f>
        <v>5114001</v>
      </c>
      <c r="G101" s="535">
        <f>IF(Estudio_Mercado!J101="","",Estudio_Mercado!J101)</f>
        <v>20456004</v>
      </c>
      <c r="H101" s="548"/>
      <c r="I101" s="549"/>
      <c r="J101" s="543"/>
      <c r="K101" s="550"/>
      <c r="L101" s="543"/>
      <c r="M101" s="545"/>
    </row>
    <row r="102" spans="2:13" ht="179.25">
      <c r="B102" s="515">
        <v>10</v>
      </c>
      <c r="C102" s="534" t="str">
        <f>Estudio_Mercado!C102</f>
        <v>Diseñador(a) Gráfico(a)</v>
      </c>
      <c r="D102" s="534" t="str">
        <f>Estudio_Mercado!D102</f>
        <v xml:space="preserve">FORMACIÓN PROFESIONAL:  Profesional en Diseño Gráfico, Diseño Visual, Publicidad,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EXPECIFICA: Mínimo seis (6) meses de experiencia certificada en diseño gráfico, desarrollo de piezas publicitarias, producción de material POP, estrategias BTL, campañas de comunicación, contenido para medios digitales, redes sociales, landing pages o proyectos de posicionamiento comercial y visibilización de productos o servicios
</v>
      </c>
      <c r="E102" s="515">
        <f>IF(Estudio_Mercado!F102="","",Estudio_Mercado!F102)</f>
        <v>1</v>
      </c>
      <c r="F102" s="535">
        <f>IF(Estudio_Mercado!I102="","",Estudio_Mercado!I102)</f>
        <v>5114001</v>
      </c>
      <c r="G102" s="535">
        <f>IF(Estudio_Mercado!J102="","",Estudio_Mercado!J102)</f>
        <v>20456004</v>
      </c>
      <c r="H102" s="548"/>
      <c r="I102" s="549"/>
      <c r="J102" s="543"/>
      <c r="K102" s="550"/>
      <c r="L102" s="543"/>
      <c r="M102" s="545"/>
    </row>
    <row r="103" spans="2:13" ht="179.25">
      <c r="B103" s="515">
        <v>11</v>
      </c>
      <c r="C103" s="534" t="str">
        <f>Estudio_Mercado!C103</f>
        <v>Comunicador(a) Social o Publicista</v>
      </c>
      <c r="D103" s="534" t="str">
        <f>Estudio_Mercado!D103</f>
        <v xml:space="preserve">FORMACIÓN PROFESIONAL: 
Profesional en Comunicación Social, Publicidad, Comunicación Estratégica, Mercadeo y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ESPECIFICA: Mínimo seis (6) meses de experiencia certificada en formulación, implementación o acompañamiento de estrategias de comunicación (OOH, BTL, material POP), campañas institucionales, publicidad, marketing digital, posicionamiento de marca, comunicación comunitaria o promoción comercial.
</v>
      </c>
      <c r="E103" s="515">
        <f>IF(Estudio_Mercado!F103="","",Estudio_Mercado!F103)</f>
        <v>1</v>
      </c>
      <c r="F103" s="535">
        <f>IF(Estudio_Mercado!I103="","",Estudio_Mercado!I103)</f>
        <v>5114001</v>
      </c>
      <c r="G103" s="535">
        <f>IF(Estudio_Mercado!J103="","",Estudio_Mercado!J103)</f>
        <v>20456004</v>
      </c>
      <c r="H103" s="548"/>
      <c r="I103" s="549"/>
      <c r="J103" s="543"/>
      <c r="K103" s="550"/>
      <c r="L103" s="543"/>
      <c r="M103" s="545"/>
    </row>
    <row r="104" spans="2:13" ht="193.5">
      <c r="B104" s="515">
        <v>12</v>
      </c>
      <c r="C104" s="534" t="str">
        <f>Estudio_Mercado!C104</f>
        <v>Redactor(a)</v>
      </c>
      <c r="D104" s="534" t="str">
        <f>Estudio_Mercado!D104</f>
        <v xml:space="preserve">FORMACIÓN PROFESIONAL:  Profesional en Comunicación Social, Periodismo, Literatura, Lingüística, Publicidad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redacción de contenidos, copywriting, creación de mensajes publicitarios, elaboración de contenidos para campañas institucionales (OOH, BTL, material POP), medios digitales, material pedagógico, páginas web, redes sociales o estrategias de comunicación comercial.
</v>
      </c>
      <c r="E104" s="515">
        <f>IF(Estudio_Mercado!F104="","",Estudio_Mercado!F104)</f>
        <v>1</v>
      </c>
      <c r="F104" s="535">
        <f>IF(Estudio_Mercado!I104="","",Estudio_Mercado!I104)</f>
        <v>5114001</v>
      </c>
      <c r="G104" s="535">
        <f>IF(Estudio_Mercado!J104="","",Estudio_Mercado!J104)</f>
        <v>20456004</v>
      </c>
      <c r="H104" s="548"/>
      <c r="I104" s="549"/>
      <c r="J104" s="543"/>
      <c r="K104" s="550"/>
      <c r="L104" s="543"/>
      <c r="M104" s="545"/>
    </row>
    <row r="105" spans="2:13" ht="208.5">
      <c r="B105" s="515">
        <v>13</v>
      </c>
      <c r="C105" s="534" t="str">
        <f>Estudio_Mercado!C105</f>
        <v>Web Master</v>
      </c>
      <c r="D105" s="534" t="str">
        <f>Estudio_Mercado!D105</f>
        <v xml:space="preserve">FORMACIÓN PROFESIONAL: Profesional en Ingeniería de Sistemas, Ingeniería de Software, Ingeniería Telemática, Ingeniería Informática, Diseño Multimedia, Diseño Visual con énfasis digital o disciplinas afines reconocidas por el Ministerio de Educación Nacional. 
EXPERIENCIA PROFESIONAL: Mínimo dieciocho (18) meses de experiencia profesional certificada contados a partir de la obtención del título profesional.
EXPERIENCIA ESPECÍFICA: Mínimo seis (6) meses de experiencia certificada en desarrollo, administración, mantenimiento o soporte de sitios web, landing pages, gestores de contenido (CMS), plataformas digitales, alojamiento web, administración de dominios, herramientas de analítica digital o ecosistemas de captación y conversión digital.
</v>
      </c>
      <c r="E105" s="515">
        <f>IF(Estudio_Mercado!F105="","",Estudio_Mercado!F105)</f>
        <v>1</v>
      </c>
      <c r="F105" s="535">
        <f>IF(Estudio_Mercado!I105="","",Estudio_Mercado!I105)</f>
        <v>5114001</v>
      </c>
      <c r="G105" s="535">
        <f>IF(Estudio_Mercado!J105="","",Estudio_Mercado!J105)</f>
        <v>20456004</v>
      </c>
      <c r="H105" s="548"/>
      <c r="I105" s="549"/>
      <c r="J105" s="543"/>
      <c r="K105" s="550"/>
      <c r="L105" s="543"/>
      <c r="M105" s="545"/>
    </row>
    <row r="106" spans="2:13" ht="238.5">
      <c r="B106" s="515">
        <v>14</v>
      </c>
      <c r="C106" s="534" t="str">
        <f>Estudio_Mercado!C106</f>
        <v xml:space="preserve">Docente y/o Formador (a) para los Circuitos de Derechos </v>
      </c>
      <c r="D106" s="534" t="str">
        <f>Estudio_Mercado!D106</f>
        <v>FORMACIÓN ACADÉMICA: Profesional en áreas del conocimiento correspondientes a las Ciencias Sociales y Humanas, Ciencias de la Educación, Derecho, Ciencia Política, Trabajo Social, Psicología, Economía, Administración, Bellas Artes o disciplinas afines reconocidas por el Ministerio de Educación Nacional.  
EXPERIENCIA PROFESIONAL: Mínimo dieciocho (18)  meses de experiencia profesional certificada contados a partir de la terminación y aprobación del pensum académico o de la obtención del título profesional o de la tarjeta profesional cuando aplique, conforme a la normativa vigente. 
EXPERIENCIA ESPECÍFICA: Mínimo doce (12) meses de experiencia certificada en la facilitación de talleres, formación comunitaria, implementación de estrategias pedagógicas, acciones de promoción de derechos, exigibilidad de derechos, enfoque de género, Política Pública de Mujeres y Equidad de Género, prevención de violencias basadas en género o fortalecimiento de procesos organizativos de mujeres.</v>
      </c>
      <c r="E106" s="515">
        <f>IF(Estudio_Mercado!F106="","",Estudio_Mercado!F106)</f>
        <v>2</v>
      </c>
      <c r="F106" s="535">
        <f>IF(Estudio_Mercado!I106="","",Estudio_Mercado!I106)</f>
        <v>5114001</v>
      </c>
      <c r="G106" s="535">
        <f>IF(Estudio_Mercado!J106="","",Estudio_Mercado!J106)</f>
        <v>20456004</v>
      </c>
      <c r="H106" s="548"/>
      <c r="I106" s="549"/>
      <c r="J106" s="543"/>
      <c r="K106" s="550"/>
      <c r="L106" s="543"/>
      <c r="M106" s="545"/>
    </row>
    <row r="107" spans="2:13" ht="312">
      <c r="B107" s="515">
        <v>15</v>
      </c>
      <c r="C107" s="534" t="str">
        <f>Estudio_Mercado!C107</f>
        <v xml:space="preserve">Técnico(a) en áreas de la salud – Relevo del Cuidado </v>
      </c>
      <c r="D107" s="534" t="str">
        <f>Estudio_Mercado!D107</f>
        <v xml:space="preserve">FORMACIÓN ACADÉMICA:  
Técnico o Tecnólogo en áreas de las Ciencias de la Salud, Ciencias de la Educación, Atención Integral a la Primera Infancia, Atención a Personas con Discapacidad, Auxiliar de Enfermería, Atención Psicosocial, Pedagogía, Educación Especial o disciplinas afines. EXPERIENCIA PROFESIONAL: Mínimo veinticuatro (24) meses de experiencia profesional certificada contados a partir de la expedición de la tarjeta profesional o del registro correspondiente. 
EXPERIENCIA ESPECÍFICA: Mínimo tres (3) meses de experiencia certificada en atención primaria en salud, atención clínica, servicios de urgencias, actividades de promoción y prevención, brigadas de salud, jornadas comunitarias, acompañamiento sanitario en eventos masivos, actividades territoriales o estrategias de intervención comunitaria. 
También será válida la experiencia en proyectos sociales, educativos, comunitarios o institucionales que incluyan acciones de relevo de cuidado, acompañamiento psicosocial, inclusión social, participación comunitaria o fortalecimiento de capacidades para población vulnerable. 
</v>
      </c>
      <c r="E107" s="515">
        <f>IF(Estudio_Mercado!F107="","",Estudio_Mercado!F107)</f>
        <v>2</v>
      </c>
      <c r="F107" s="535">
        <f>IF(Estudio_Mercado!I107="","",Estudio_Mercado!I107)</f>
        <v>3640001</v>
      </c>
      <c r="G107" s="535">
        <f>IF(Estudio_Mercado!J107="","",Estudio_Mercado!J107)</f>
        <v>14560004</v>
      </c>
      <c r="H107" s="548"/>
      <c r="I107" s="549"/>
      <c r="J107" s="543"/>
      <c r="K107" s="550"/>
      <c r="L107" s="543"/>
      <c r="M107" s="545"/>
    </row>
    <row r="108" spans="2:13" ht="283.5">
      <c r="B108" s="515">
        <v>16</v>
      </c>
      <c r="C108" s="534" t="str">
        <f>Estudio_Mercado!C108</f>
        <v>Profesional de Gestión Social en Psicología</v>
      </c>
      <c r="D108" s="534" t="str">
        <f>Estudio_Mercado!D108</f>
        <v xml:space="preserve">FORMACIÓN ACADÉMICA: Profesional en Psicología, de conformidad con los Núcleos Básicos de Conocimiento reconocidos por el Ministerio de Educación Nacional. 
FORMACIÓN POSGRADUAL: Especialización en Estudios de Género, Derechos Humanos, Intervención Social, Psicología Comunitaria, Psicología Social, Políticas Públicas, Desarrollo Humano o áreas afines.
EXPERIENCIA PROFESIONAL: Mínimo dieciocho (18) meses de experiencia profesional certificada contados a partir de la expedición de la tarjeta profesional. 
EXPERIENCIA ESPECÍFICA: Mínimo doce (12) meses de experiencia certificada en la implementación, acompañamiento o fortalecimiento de procesos relacionados con la Política Pública de Mujeres y Equidad de Género (PPMYEG), el Sistema Distrital de Cuidado (SIDICU), enfoque de género, economía del cuidado, prevención de violencias basadas en género, derechos humanos de las mujeres, participación comunitaria, fortalecimiento de capacidades, intervención psicosocial o proyectos dirigidos a mujeres y población vulnerable. 
</v>
      </c>
      <c r="E108" s="515">
        <f>IF(Estudio_Mercado!F108="","",Estudio_Mercado!F108)</f>
        <v>4</v>
      </c>
      <c r="F108" s="535">
        <f>IF(Estudio_Mercado!I108="","",Estudio_Mercado!I108)</f>
        <v>5114001</v>
      </c>
      <c r="G108" s="535">
        <f>IF(Estudio_Mercado!J108="","",Estudio_Mercado!J108)</f>
        <v>184104036</v>
      </c>
      <c r="H108" s="548"/>
      <c r="I108" s="549"/>
      <c r="J108" s="543"/>
      <c r="K108" s="550"/>
      <c r="L108" s="543"/>
      <c r="M108" s="545"/>
    </row>
    <row r="109" spans="2:13" ht="208.5">
      <c r="B109" s="515">
        <v>17</v>
      </c>
      <c r="C109" s="534" t="str">
        <f>Estudio_Mercado!C109</f>
        <v>Instructor Pedagógico.</v>
      </c>
      <c r="D109" s="534" t="str">
        <f>Estudio_Mercado!D109</f>
        <v xml:space="preserve">FORMACIÓN ACADÉMICA: Profesional en Licenciatura en Diseño Tecnológico, Pedagogía, Educación, Comunicación Social, Diseño Digital, Diseño Gráfico, Diseño Visual, Tecnología Educativa o disciplinas afines pertenecientes a los Núcleos Básicos de Conocimiento reconocidos por el Ministerio de Educación Nacional.
EXPERIENCIA PROFESIONAL: Mínimo dieciocho (18) meses de experiencia profesional certificada contados a partir de la obtención del título profesional.
EXPERIENCIA ESPECÍFICA: Mínimo seis (6) meses de experiencia certificada en diseño instruccional, diseño pedagógico, elaboración de materiales educativos, guiones metodológicos, contenidos formativos, recursos pedagógicos impresos o digitales, producción de material audiovisual educativo, herramientas de aprendizaje o estrategias de educación comunitaria.
</v>
      </c>
      <c r="E109" s="515">
        <f>IF(Estudio_Mercado!F109="","",Estudio_Mercado!F109)</f>
        <v>1</v>
      </c>
      <c r="F109" s="535">
        <f>IF(Estudio_Mercado!I109="","",Estudio_Mercado!I109)</f>
        <v>5114001</v>
      </c>
      <c r="G109" s="535">
        <f>IF(Estudio_Mercado!J109="","",Estudio_Mercado!J109)</f>
        <v>10228002</v>
      </c>
      <c r="H109" s="548"/>
      <c r="I109" s="549"/>
      <c r="J109" s="543"/>
      <c r="K109" s="550"/>
      <c r="L109" s="543"/>
      <c r="M109" s="545"/>
    </row>
    <row r="110" spans="2:13" ht="238.5">
      <c r="B110" s="515">
        <v>18</v>
      </c>
      <c r="C110" s="534" t="str">
        <f>Estudio_Mercado!C110</f>
        <v>Instructor(a) Líder de Mecánica y Seguridad Vial</v>
      </c>
      <c r="D110" s="534" t="str">
        <f>Estudio_Mercado!D110</f>
        <v xml:space="preserve">FORMACIÓN ACADÉMICA: Técnico Automotriz, Mantenimiento Automotriz, Alineación y Balanceo o disciplinas afines pertenecientes a los Núcleos Básicos de Conocimiento reconocidos por el Ministerio de Educación Nacional.
Preferiblemente MUJER*.
EXPERIENCIA PROFESIONAL: Mínimo doce (12) meses de experiencia laboral certificada en actividades relacionadas con mecánica automotriz, mantenimiento preventivo y correctivo de vehículos, formación técnica o capacitación en temas asociados al sector automotor.
EXPERIENCIA ESPECÍFICA: Mínimo seis (6) meses de experiencia certificada como instructor(a), docente, capacitador(a), facilitador(a) o tallerista en temas relacionados con mecánica básica automotriz, mantenimiento preventivo, seguridad vial, conducción segura o educación vial. 
</v>
      </c>
      <c r="E110" s="515">
        <f>IF(Estudio_Mercado!F110="","",Estudio_Mercado!F110)</f>
        <v>3</v>
      </c>
      <c r="F110" s="535">
        <f>IF(Estudio_Mercado!I110="","",Estudio_Mercado!I110)</f>
        <v>3224001</v>
      </c>
      <c r="G110" s="535">
        <f>IF(Estudio_Mercado!J110="","",Estudio_Mercado!J110)</f>
        <v>19344006</v>
      </c>
      <c r="H110" s="548"/>
      <c r="I110" s="549"/>
      <c r="J110" s="543"/>
      <c r="K110" s="550"/>
      <c r="L110" s="543"/>
      <c r="M110" s="545"/>
    </row>
    <row r="111" spans="2:13" ht="193.5">
      <c r="B111" s="515">
        <v>19</v>
      </c>
      <c r="C111" s="534" t="str">
        <f>Estudio_Mercado!C111</f>
        <v>Monitor(a) de Apoyo Técnico</v>
      </c>
      <c r="D111" s="534" t="str">
        <f>Estudio_Mercado!D111</f>
        <v xml:space="preserve">FORMACIÓN ACADÉMICA: Técnico(a) o estudiante que haya aprobado como mínimo el sesenta por ciento (60%) del plan de estudios en programas de Mecánica Automotriz, Ingeniería Mecánica, Mecánica de Motocicletas, Mantenimiento Automotriz, Tecnologías del Sector Automotor, Seguridad Vial o áreas afines.
EXPERIENCIA GENERAL: Mínimo seis (6) meses de experiencia laboral certificada.
EXPERIENCIA ESPECÍFICA: Mínimo seis (6) meses de experiencia certificada relacionada con mantenimiento preventivo y correctivo de motocicletas, apoyo a procesos de formación en mecánica básica, asistencia técnica en talleres automotrices, conducción segura o actividades relacionadas con el sector automotor.
</v>
      </c>
      <c r="E111" s="515">
        <f>IF(Estudio_Mercado!F111="","",Estudio_Mercado!F111)</f>
        <v>3</v>
      </c>
      <c r="F111" s="535">
        <f>IF(Estudio_Mercado!I111="","",Estudio_Mercado!I111)</f>
        <v>3224001</v>
      </c>
      <c r="G111" s="535">
        <f>IF(Estudio_Mercado!J111="","",Estudio_Mercado!J111)</f>
        <v>19344006</v>
      </c>
      <c r="H111" s="548"/>
      <c r="I111" s="549"/>
      <c r="J111" s="543"/>
      <c r="K111" s="550"/>
      <c r="L111" s="543"/>
      <c r="M111" s="545"/>
    </row>
    <row r="112" spans="2:13" ht="179.25">
      <c r="B112" s="515">
        <v>20</v>
      </c>
      <c r="C112" s="534" t="str">
        <f>Estudio_Mercado!C112</f>
        <v>Instructora de Crochet</v>
      </c>
      <c r="D112" s="534" t="str">
        <f>Estudio_Mercado!D112</f>
        <v xml:space="preserve">FORMACIÓN ACADÉMICA: Mujer con formación certificada, conocimientos demostrables o experiencia acreditada en tejido crochet, tejido a dos agujas, telar u otras técnicas afines de tejido artesanal.
EXPERIENCIA GENERAL: Mínimo dos (2) años de experiencia certificada en actividades relacionadas con tejido crochet, tejido artesanal, elaboración de productos textiles artesanales o formación en técnicas de tejido. 
EXPERIENCIA ESPECÍFICA: Mínimo doce (12) meses de experiencia certificada como instructora, tallerista, formadora, facilitadora o capacitadora en procesos de enseñanza de tejido crochet o técnicas afines, preferiblemente con población adulta, mujeres, grupos comunitarios u organizaciones sociales.
</v>
      </c>
      <c r="E112" s="515">
        <f>IF(Estudio_Mercado!F112="","",Estudio_Mercado!F112)</f>
        <v>1</v>
      </c>
      <c r="F112" s="535">
        <f>IF(Estudio_Mercado!I112="","",Estudio_Mercado!I112)</f>
        <v>3095001</v>
      </c>
      <c r="G112" s="535">
        <f>IF(Estudio_Mercado!J112="","",Estudio_Mercado!J112)</f>
        <v>6190002</v>
      </c>
      <c r="H112" s="548"/>
      <c r="I112" s="549"/>
      <c r="J112" s="543"/>
      <c r="K112" s="550"/>
      <c r="L112" s="543"/>
      <c r="M112" s="545"/>
    </row>
    <row r="113" spans="2:13" ht="268.5">
      <c r="B113" s="515">
        <v>21</v>
      </c>
      <c r="C113" s="534" t="str">
        <f>Estudio_Mercado!C113</f>
        <v>Instructora de Huertas Urbanas</v>
      </c>
      <c r="D113" s="534" t="str">
        <f>Estudio_Mercado!D113</f>
        <v xml:space="preserve">FORMACIÓN ACADÉMICA: Profesional en Ingeniería Agroecológica, Ingeniería Agronómica, Ingeniería Agrícola, Ingeniería Forestal, Administración Ambiental, Ingeniería Ambiental o disciplinas afines relacionadas con sistemas productivos sostenibles, agricultura urbana y seguridad alimentaria. 
EXPERIENCIA PROFESIONAL: Mínimo doce (12) meses de experiencia profesional certificada contados a partir de la obtención del título profesional. 
EXPERIENCIA ESPECÍFICA: Mínimo seis (6) meses de experiencia certificada en procesos relacionados con agricultura urbana, huertas caseras, agroecología, producción de alimentos a pequeña escala, manejo de sustratos, compostaje, control fitosanitario sostenible, extensión rural, educación ambiental o fortalecimiento de capacidades comunitarias. 
Se valorará experiencia en procesos de formación, capacitación o acompañamiento pedagógico con mujeres, organizaciones sociales, población vulnerable o comunidades urbanas y rurales.
</v>
      </c>
      <c r="E113" s="515">
        <f>IF(Estudio_Mercado!F113="","",Estudio_Mercado!F113)</f>
        <v>2</v>
      </c>
      <c r="F113" s="535">
        <f>IF(Estudio_Mercado!I113="","",Estudio_Mercado!I113)</f>
        <v>5114001</v>
      </c>
      <c r="G113" s="535">
        <f>IF(Estudio_Mercado!J113="","",Estudio_Mercado!J113)</f>
        <v>20456004</v>
      </c>
      <c r="H113" s="548"/>
      <c r="I113" s="549"/>
      <c r="J113" s="543"/>
      <c r="K113" s="550"/>
      <c r="L113" s="543"/>
      <c r="M113" s="545"/>
    </row>
    <row r="114" spans="2:13" ht="208.5">
      <c r="B114" s="515">
        <v>22</v>
      </c>
      <c r="C114" s="534" t="str">
        <f>Estudio_Mercado!C114</f>
        <v>Técnica de Instalación y Soporte para Huertas Urbanas</v>
      </c>
      <c r="D114" s="534" t="str">
        <f>Estudio_Mercado!D114</f>
        <v xml:space="preserve">FORMACIÓN ACADÉMICA: Técnico o Tecnólogo en Construcción, Mantenimiento de Edificaciones, Obras Civiles, Ebanistería, Carpintería, Jardinería, Producción Agropecuaria, Agricultura Urbana o áreas afines. 
EXPERIENCIA GENERAL: Mínimo doce (12) meses de experiencia laboral certificada en actividades relacionadas con instalación, mantenimiento, adecuación de espacios, montaje de estructuras, servicios generales, jardinería o actividades afines. 
EXPERIENCIA ESPECÍFICA: Mínimo seis (6) meses de experiencia certificada en instalación de estructuras livianas, montaje de sistemas para agricultura urbana, adecuación de espacios productivos, jardines, huertas, viveros o actividades similares. 
Se valorará experiencia en trabajo comunitario y acompañamiento a proyectos sociales o ambientales.
</v>
      </c>
      <c r="E114" s="515">
        <f>IF(Estudio_Mercado!F114="","",Estudio_Mercado!F114)</f>
        <v>2</v>
      </c>
      <c r="F114" s="535">
        <f>IF(Estudio_Mercado!I114="","",Estudio_Mercado!I114)</f>
        <v>3224001</v>
      </c>
      <c r="G114" s="535">
        <f>IF(Estudio_Mercado!J114="","",Estudio_Mercado!J114)</f>
        <v>12896004</v>
      </c>
      <c r="H114" s="548"/>
      <c r="I114" s="549"/>
      <c r="J114" s="543"/>
      <c r="K114" s="550"/>
      <c r="L114" s="543"/>
      <c r="M114" s="545"/>
    </row>
    <row r="115" spans="2:13" ht="119.25">
      <c r="B115" s="515">
        <v>23</v>
      </c>
      <c r="C115" s="534" t="str">
        <f>Estudio_Mercado!C115</f>
        <v>Auxiliar de Cocina y Apoyo Operativo</v>
      </c>
      <c r="D115" s="534" t="str">
        <f>Estudio_Mercado!D115</f>
        <v xml:space="preserve">FORMACIÓN ACADÉMICA: Bachiller, Técnico Laboral o Técnico en Cocina, Gastronomía, Manipulación de Alimentos o áreas afines. 
EXPERIENCIA GENERAL: Mínimo doce (12) meses de experiencia certificada en preparación de alimentos, apoyo en cocina, repostería o logística de procesos formativos gastronómicos.  
EXPERIENCIA ESPECÍFICA: Mínimo seis (6) meses en apoyo a actividades de cocina, panadería, repostería o procesos de capacitación gastronómica.
</v>
      </c>
      <c r="E115" s="515">
        <f>IF(Estudio_Mercado!F115="","",Estudio_Mercado!F115)</f>
        <v>2</v>
      </c>
      <c r="F115" s="535">
        <f>IF(Estudio_Mercado!I115="","",Estudio_Mercado!I115)</f>
        <v>2146001</v>
      </c>
      <c r="G115" s="535">
        <f>IF(Estudio_Mercado!J115="","",Estudio_Mercado!J115)</f>
        <v>8584004</v>
      </c>
      <c r="H115" s="548"/>
      <c r="I115" s="549"/>
      <c r="J115" s="543"/>
      <c r="K115" s="550"/>
      <c r="L115" s="543"/>
      <c r="M115" s="545"/>
    </row>
    <row r="116" spans="2:13">
      <c r="B116" s="523" t="s">
        <v>1315</v>
      </c>
      <c r="C116" s="523"/>
      <c r="D116" s="523"/>
      <c r="E116" s="523"/>
      <c r="F116" s="523"/>
      <c r="G116" s="523"/>
      <c r="H116" s="524">
        <f>SUM(H93:H98)</f>
        <v>0</v>
      </c>
      <c r="I116" s="525"/>
      <c r="J116" s="526"/>
      <c r="K116" s="526"/>
      <c r="L116" s="526"/>
      <c r="M116" s="527"/>
    </row>
    <row r="117" spans="2:13" ht="15.75">
      <c r="B117" s="538" t="s">
        <v>1631</v>
      </c>
      <c r="C117" s="538"/>
      <c r="D117" s="538"/>
      <c r="E117" s="539"/>
      <c r="F117" s="539"/>
      <c r="G117" s="539"/>
      <c r="H117" s="539"/>
      <c r="I117" s="539"/>
    </row>
    <row r="118" spans="2:13" ht="15.75">
      <c r="B118" s="538" t="s">
        <v>1632</v>
      </c>
      <c r="C118" s="538"/>
      <c r="D118" s="538"/>
      <c r="E118" s="539"/>
      <c r="F118" s="539"/>
      <c r="G118" s="539"/>
      <c r="H118" s="539"/>
      <c r="I118" s="539"/>
    </row>
    <row r="119" spans="2:13" ht="15.75">
      <c r="B119" s="538" t="s">
        <v>1633</v>
      </c>
      <c r="C119" s="538"/>
      <c r="D119" s="538"/>
      <c r="E119" s="539"/>
      <c r="F119" s="539"/>
      <c r="G119" s="539"/>
      <c r="H119" s="539"/>
      <c r="I119" s="539"/>
    </row>
    <row r="120" spans="2:13" ht="15.75">
      <c r="B120" s="538" t="s">
        <v>1634</v>
      </c>
      <c r="C120" s="538"/>
      <c r="D120" s="538"/>
      <c r="E120" s="539"/>
      <c r="F120" s="539"/>
      <c r="G120" s="539"/>
      <c r="H120" s="539"/>
      <c r="I120" s="539"/>
    </row>
    <row r="121" spans="2:13">
      <c r="B121" s="540"/>
      <c r="C121" s="540"/>
      <c r="D121" s="540"/>
      <c r="E121" s="540"/>
      <c r="F121" s="540"/>
      <c r="G121" s="540"/>
      <c r="H121" s="540"/>
      <c r="I121" s="540"/>
    </row>
    <row r="122" spans="2:13">
      <c r="E122" s="7"/>
      <c r="F122" s="541"/>
      <c r="G122" s="541"/>
    </row>
    <row r="123" spans="2:13">
      <c r="D123" s="7"/>
      <c r="E123" s="7"/>
      <c r="F123" s="541"/>
      <c r="G123" s="541"/>
    </row>
    <row r="124" spans="2:13">
      <c r="D124" s="7"/>
      <c r="E124" s="7"/>
      <c r="F124" s="541"/>
      <c r="G124" s="541"/>
    </row>
    <row r="125" spans="2:13">
      <c r="D125" s="7"/>
      <c r="E125" s="7"/>
      <c r="F125" s="541"/>
      <c r="G125" s="541"/>
    </row>
    <row r="126" spans="2:13">
      <c r="D126" s="7"/>
      <c r="E126" s="7"/>
      <c r="F126" s="541"/>
      <c r="G126" s="541"/>
    </row>
  </sheetData>
  <sheetProtection algorithmName="SHA-512" hashValue="rUtdeB5xqwjCAa+17xYISwi/ub6UoER+PrYT8v5zjXsn4sEM003RK2gsuFzwTjZBpKAh1v8ynf22sqjupDH82Q==" saltValue="flIAJyFFsZs2NNhPRHCLsQ==" spinCount="100000" sheet="1" objects="1" scenarios="1"/>
  <protectedRanges>
    <protectedRange sqref="H11:I89" name="Rango1"/>
    <protectedRange sqref="H93:I115" name="Rango2"/>
    <protectedRange sqref="E117:I120" name="Rango3"/>
    <protectedRange sqref="N71" name="Rango4"/>
    <protectedRange sqref="N88" name="Rango5"/>
    <protectedRange sqref="N89" name="Rango6"/>
  </protectedRanges>
  <mergeCells count="28">
    <mergeCell ref="B119:D119"/>
    <mergeCell ref="E119:I119"/>
    <mergeCell ref="B120:D120"/>
    <mergeCell ref="E120:I120"/>
    <mergeCell ref="B121:I121"/>
    <mergeCell ref="B116:G116"/>
    <mergeCell ref="J116:M116"/>
    <mergeCell ref="B117:D117"/>
    <mergeCell ref="E117:I117"/>
    <mergeCell ref="B118:D118"/>
    <mergeCell ref="E118:I118"/>
    <mergeCell ref="H9:I9"/>
    <mergeCell ref="J9:M9"/>
    <mergeCell ref="B90:G90"/>
    <mergeCell ref="J90:M90"/>
    <mergeCell ref="B91:E92"/>
    <mergeCell ref="F91:I92"/>
    <mergeCell ref="J91:M92"/>
    <mergeCell ref="B6:C7"/>
    <mergeCell ref="D6:I6"/>
    <mergeCell ref="J6:M8"/>
    <mergeCell ref="E7:I7"/>
    <mergeCell ref="B8:E8"/>
    <mergeCell ref="B9:B10"/>
    <mergeCell ref="C9:C10"/>
    <mergeCell ref="D9:D10"/>
    <mergeCell ref="E9:E10"/>
    <mergeCell ref="F9:G9"/>
  </mergeCells>
  <conditionalFormatting sqref="K11:K89 M11:M89">
    <cfRule type="cellIs" dxfId="16" priority="13" operator="lessThan">
      <formula>0</formula>
    </cfRule>
    <cfRule type="cellIs" dxfId="15" priority="14" operator="lessThan">
      <formula>0</formula>
    </cfRule>
  </conditionalFormatting>
  <conditionalFormatting sqref="K93 M93">
    <cfRule type="cellIs" dxfId="14" priority="11" operator="lessThan">
      <formula>0</formula>
    </cfRule>
    <cfRule type="cellIs" dxfId="13" priority="12" operator="lessThan">
      <formula>0</formula>
    </cfRule>
  </conditionalFormatting>
  <conditionalFormatting sqref="K94 M94">
    <cfRule type="cellIs" dxfId="12" priority="9" operator="lessThan">
      <formula>0</formula>
    </cfRule>
    <cfRule type="cellIs" dxfId="11" priority="10" operator="lessThan">
      <formula>0</formula>
    </cfRule>
  </conditionalFormatting>
  <conditionalFormatting sqref="K95 M95">
    <cfRule type="cellIs" dxfId="10" priority="7" operator="lessThan">
      <formula>0</formula>
    </cfRule>
    <cfRule type="cellIs" dxfId="9" priority="8" operator="lessThan">
      <formula>0</formula>
    </cfRule>
  </conditionalFormatting>
  <conditionalFormatting sqref="K96 M96">
    <cfRule type="cellIs" dxfId="8" priority="5" operator="lessThan">
      <formula>0</formula>
    </cfRule>
    <cfRule type="cellIs" dxfId="7" priority="6" operator="lessThan">
      <formula>0</formula>
    </cfRule>
  </conditionalFormatting>
  <conditionalFormatting sqref="K97 M97">
    <cfRule type="cellIs" dxfId="6" priority="3" operator="lessThan">
      <formula>0</formula>
    </cfRule>
    <cfRule type="cellIs" dxfId="5" priority="4" operator="lessThan">
      <formula>0</formula>
    </cfRule>
  </conditionalFormatting>
  <conditionalFormatting sqref="K98:K115 M98:M115">
    <cfRule type="cellIs" dxfId="4" priority="1" operator="lessThan">
      <formula>0</formula>
    </cfRule>
    <cfRule type="cellIs" dxfId="3" priority="2" operator="lessThan">
      <formula>0</formula>
    </cfRule>
  </conditionalFormatting>
  <pageMargins left="0.7" right="0.7" top="0.75" bottom="0.75" header="0.3" footer="0.3"/>
  <pageSetup orientation="portrait"/>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1E6FE0-7D4F-4D10-9459-9B7EE8774681}">
  <sheetPr>
    <pageSetUpPr fitToPage="1"/>
  </sheetPr>
  <dimension ref="A3:CR21"/>
  <sheetViews>
    <sheetView view="pageBreakPreview" topLeftCell="R10" zoomScale="40" zoomScaleNormal="40" zoomScaleSheetLayoutView="40" workbookViewId="0">
      <selection activeCell="U12" sqref="U12"/>
    </sheetView>
  </sheetViews>
  <sheetFormatPr defaultColWidth="11.42578125" defaultRowHeight="15" customHeight="1"/>
  <cols>
    <col min="1" max="1" width="17.140625" style="3" customWidth="1"/>
    <col min="2" max="2" width="43.42578125" style="3" customWidth="1"/>
    <col min="3" max="3" width="60" style="3" customWidth="1"/>
    <col min="4" max="4" width="166.140625" style="3" customWidth="1"/>
    <col min="5" max="7" width="28.42578125" style="3" customWidth="1"/>
    <col min="8" max="8" width="31.42578125" style="3" customWidth="1"/>
    <col min="9"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34.42578125" style="3" bestFit="1"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28" t="s">
        <v>1312</v>
      </c>
      <c r="B3" s="428"/>
      <c r="C3" s="428"/>
      <c r="D3" s="428"/>
      <c r="E3" s="428"/>
      <c r="F3" s="428"/>
      <c r="G3" s="428"/>
      <c r="H3" s="428"/>
      <c r="I3" s="428"/>
      <c r="J3" s="428"/>
      <c r="K3" s="428"/>
      <c r="L3" s="428"/>
      <c r="M3" s="428"/>
      <c r="N3" s="439" t="s">
        <v>8</v>
      </c>
      <c r="O3" s="439"/>
      <c r="P3" s="439"/>
      <c r="Q3" s="439"/>
      <c r="R3" s="439"/>
      <c r="S3" s="439"/>
      <c r="T3" s="439"/>
      <c r="U3" s="439"/>
      <c r="V3" s="439"/>
      <c r="W3" s="439"/>
      <c r="X3" s="33"/>
      <c r="Y3" s="33"/>
      <c r="Z3" s="33"/>
      <c r="AA3" s="33"/>
      <c r="AB3" s="33"/>
      <c r="AC3" s="33"/>
    </row>
    <row r="4" spans="1:96" s="2" customFormat="1" ht="93.75">
      <c r="A4" s="429"/>
      <c r="B4" s="429"/>
      <c r="C4" s="45" t="s">
        <v>14</v>
      </c>
      <c r="D4" s="440" t="s">
        <v>1313</v>
      </c>
      <c r="E4" s="440"/>
      <c r="F4" s="440"/>
      <c r="G4" s="440"/>
      <c r="H4" s="440"/>
      <c r="I4" s="440"/>
      <c r="J4" s="440"/>
      <c r="K4" s="440"/>
      <c r="L4" s="441"/>
      <c r="M4" s="282"/>
      <c r="N4" s="439"/>
      <c r="O4" s="439"/>
      <c r="P4" s="439"/>
      <c r="Q4" s="439"/>
      <c r="R4" s="439"/>
      <c r="S4" s="439"/>
      <c r="T4" s="439"/>
      <c r="U4" s="439"/>
      <c r="V4" s="439"/>
      <c r="W4" s="439"/>
      <c r="Z4" s="432" t="s">
        <v>1314</v>
      </c>
      <c r="AA4" s="432"/>
      <c r="AB4" s="73" t="e">
        <f>IF(B10="","",#REF!)</f>
        <v>#REF!</v>
      </c>
      <c r="AC4" s="38"/>
    </row>
    <row r="5" spans="1:96" s="2" customFormat="1" ht="93.75">
      <c r="A5" s="429"/>
      <c r="B5" s="429"/>
      <c r="C5" s="45" t="s">
        <v>10</v>
      </c>
      <c r="D5" s="431" t="s">
        <v>106</v>
      </c>
      <c r="E5" s="431"/>
      <c r="F5" s="431"/>
      <c r="G5" s="431"/>
      <c r="H5" s="431"/>
      <c r="I5" s="431"/>
      <c r="J5" s="431"/>
      <c r="K5" s="431"/>
      <c r="L5" s="431"/>
      <c r="M5" s="431"/>
      <c r="N5" s="439"/>
      <c r="O5" s="439"/>
      <c r="P5" s="439"/>
      <c r="Q5" s="439"/>
      <c r="R5" s="439"/>
      <c r="S5" s="439"/>
      <c r="T5" s="439"/>
      <c r="U5" s="439"/>
      <c r="V5" s="439"/>
      <c r="W5" s="439"/>
      <c r="Z5" s="432" t="s">
        <v>1315</v>
      </c>
      <c r="AA5" s="432"/>
      <c r="AB5" s="73" t="e">
        <f>+#REF!</f>
        <v>#REF!</v>
      </c>
      <c r="AC5" s="38"/>
      <c r="AD5" s="104" t="s">
        <v>1316</v>
      </c>
    </row>
    <row r="6" spans="1:96" s="2" customFormat="1" ht="47.45" customHeight="1">
      <c r="A6" s="429"/>
      <c r="B6" s="429"/>
      <c r="C6" s="82" t="s">
        <v>11</v>
      </c>
      <c r="D6" s="95" t="s">
        <v>1635</v>
      </c>
      <c r="E6" s="82" t="s">
        <v>12</v>
      </c>
      <c r="F6" s="430"/>
      <c r="G6" s="430"/>
      <c r="H6" s="430"/>
      <c r="I6" s="430"/>
      <c r="J6" s="430"/>
      <c r="K6" s="430"/>
      <c r="L6" s="430"/>
      <c r="M6" s="430"/>
      <c r="N6" s="439"/>
      <c r="O6" s="439"/>
      <c r="P6" s="439"/>
      <c r="Q6" s="439"/>
      <c r="R6" s="439"/>
      <c r="S6" s="439"/>
      <c r="T6" s="439"/>
      <c r="U6" s="439"/>
      <c r="V6" s="439"/>
      <c r="W6" s="439"/>
      <c r="Z6" s="432" t="s">
        <v>1318</v>
      </c>
      <c r="AA6" s="432"/>
      <c r="AB6" s="74" t="e">
        <f>IF(B10="","",(AB4+AB5))</f>
        <v>#REF!</v>
      </c>
      <c r="AD6" s="78"/>
      <c r="AE6" s="79"/>
      <c r="CA6">
        <v>1</v>
      </c>
      <c r="CB6">
        <v>2</v>
      </c>
      <c r="CC6">
        <v>10</v>
      </c>
      <c r="CD6">
        <v>14</v>
      </c>
      <c r="CE6">
        <v>23</v>
      </c>
      <c r="CF6">
        <v>29</v>
      </c>
      <c r="CG6">
        <v>36</v>
      </c>
      <c r="CH6">
        <v>40</v>
      </c>
      <c r="CI6"/>
      <c r="CJ6">
        <v>48</v>
      </c>
    </row>
    <row r="7" spans="1:96" s="18" customFormat="1" ht="24">
      <c r="H7" s="442" t="s">
        <v>16</v>
      </c>
      <c r="I7" s="443"/>
      <c r="J7" s="443"/>
      <c r="K7" s="443"/>
      <c r="L7" s="443"/>
      <c r="M7" s="444"/>
      <c r="N7" s="433" t="s">
        <v>17</v>
      </c>
      <c r="O7" s="434"/>
      <c r="P7" s="434"/>
      <c r="Q7" s="434"/>
      <c r="R7" s="434"/>
      <c r="S7" s="435"/>
      <c r="T7" s="436" t="s">
        <v>18</v>
      </c>
      <c r="U7" s="437"/>
      <c r="V7" s="437"/>
      <c r="W7" s="437"/>
      <c r="X7" s="437"/>
      <c r="Y7" s="438"/>
      <c r="Z7" s="426" t="s">
        <v>20</v>
      </c>
      <c r="AA7" s="427"/>
      <c r="AB7" s="427"/>
      <c r="AC7" s="427"/>
      <c r="CA7" s="18" t="s">
        <v>1321</v>
      </c>
      <c r="CJ7" s="18" t="s">
        <v>1322</v>
      </c>
    </row>
    <row r="8" spans="1:96" s="90" customFormat="1" ht="103.15" customHeight="1">
      <c r="A8" s="91" t="s">
        <v>22</v>
      </c>
      <c r="B8" s="91" t="s">
        <v>23</v>
      </c>
      <c r="C8" s="91" t="s">
        <v>1323</v>
      </c>
      <c r="D8" s="91" t="s">
        <v>25</v>
      </c>
      <c r="E8" s="91" t="s">
        <v>26</v>
      </c>
      <c r="F8" s="91" t="s">
        <v>27</v>
      </c>
      <c r="G8" s="91" t="s">
        <v>160</v>
      </c>
      <c r="H8" s="92" t="s">
        <v>28</v>
      </c>
      <c r="I8" s="92" t="s">
        <v>29</v>
      </c>
      <c r="J8" s="92" t="s">
        <v>1324</v>
      </c>
      <c r="K8" s="92" t="s">
        <v>31</v>
      </c>
      <c r="L8" s="92" t="s">
        <v>32</v>
      </c>
      <c r="M8" s="92" t="s">
        <v>33</v>
      </c>
      <c r="N8" s="91" t="s">
        <v>34</v>
      </c>
      <c r="O8" s="91" t="s">
        <v>29</v>
      </c>
      <c r="P8" s="91" t="s">
        <v>1325</v>
      </c>
      <c r="Q8" s="91" t="s">
        <v>31</v>
      </c>
      <c r="R8" s="91" t="s">
        <v>32</v>
      </c>
      <c r="S8" s="91" t="s">
        <v>33</v>
      </c>
      <c r="T8" s="93" t="s">
        <v>35</v>
      </c>
      <c r="U8" s="93" t="s">
        <v>29</v>
      </c>
      <c r="V8" s="93" t="s">
        <v>30</v>
      </c>
      <c r="W8" s="93" t="s">
        <v>31</v>
      </c>
      <c r="X8" s="93" t="s">
        <v>32</v>
      </c>
      <c r="Y8" s="93" t="s">
        <v>33</v>
      </c>
      <c r="Z8" s="92" t="s">
        <v>37</v>
      </c>
      <c r="AA8" s="92" t="s">
        <v>38</v>
      </c>
      <c r="AB8" s="92" t="s">
        <v>39</v>
      </c>
      <c r="AC8" s="92" t="s">
        <v>40</v>
      </c>
      <c r="AD8" s="94" t="s">
        <v>45</v>
      </c>
      <c r="CA8" s="90" t="s">
        <v>1326</v>
      </c>
      <c r="CB8" s="90" t="s">
        <v>1327</v>
      </c>
      <c r="CC8" s="90" t="s">
        <v>1328</v>
      </c>
      <c r="CD8" s="90" t="s">
        <v>1329</v>
      </c>
      <c r="CE8" s="90" t="s">
        <v>1330</v>
      </c>
      <c r="CF8" s="90" t="s">
        <v>1331</v>
      </c>
      <c r="CG8" s="90" t="s">
        <v>1332</v>
      </c>
      <c r="CH8" s="90" t="s">
        <v>1333</v>
      </c>
      <c r="CI8" s="90" t="s">
        <v>1334</v>
      </c>
      <c r="CJ8" s="90" t="s">
        <v>1326</v>
      </c>
      <c r="CK8" s="90" t="s">
        <v>1327</v>
      </c>
      <c r="CL8" s="90" t="s">
        <v>1328</v>
      </c>
      <c r="CM8" s="90" t="s">
        <v>1329</v>
      </c>
      <c r="CN8" s="90" t="s">
        <v>1330</v>
      </c>
      <c r="CO8" s="90" t="s">
        <v>1331</v>
      </c>
      <c r="CP8" s="90" t="s">
        <v>1332</v>
      </c>
      <c r="CQ8" s="90" t="s">
        <v>1333</v>
      </c>
      <c r="CR8" s="90" t="s">
        <v>1334</v>
      </c>
    </row>
    <row r="9" spans="1:96" s="90" customFormat="1" ht="214.15" customHeight="1">
      <c r="A9" s="75">
        <v>1</v>
      </c>
      <c r="B9" s="204" t="s">
        <v>1391</v>
      </c>
      <c r="C9" s="205" t="s">
        <v>1636</v>
      </c>
      <c r="D9" s="205" t="s">
        <v>1637</v>
      </c>
      <c r="E9" s="206" t="s">
        <v>185</v>
      </c>
      <c r="F9" s="207">
        <v>50</v>
      </c>
      <c r="G9" s="205" t="s">
        <v>186</v>
      </c>
      <c r="H9" s="80" t="s">
        <v>1638</v>
      </c>
      <c r="I9" s="96">
        <v>250</v>
      </c>
      <c r="J9" s="97"/>
      <c r="K9" s="97">
        <f t="shared" ref="K9" si="0">I9+J9</f>
        <v>250</v>
      </c>
      <c r="L9" s="97">
        <f t="shared" ref="L9" si="1">IF(B9="","",(I9*F9))</f>
        <v>12500</v>
      </c>
      <c r="M9" s="97">
        <f t="shared" ref="M9" si="2">IF(B9="","",(K9*F9))</f>
        <v>12500</v>
      </c>
      <c r="N9" s="81" t="s">
        <v>1639</v>
      </c>
      <c r="O9" s="98">
        <v>450</v>
      </c>
      <c r="P9" s="99"/>
      <c r="Q9" s="99">
        <f t="shared" ref="Q9" si="3">O9+P9</f>
        <v>450</v>
      </c>
      <c r="R9" s="99">
        <f t="shared" ref="R9" si="4">IF(B9="","",(O9*F9))</f>
        <v>22500</v>
      </c>
      <c r="S9" s="99">
        <f t="shared" ref="S9" si="5">IF(B9="","",(Q9*F9))</f>
        <v>22500</v>
      </c>
      <c r="T9" s="76" t="s">
        <v>1640</v>
      </c>
      <c r="U9" s="100">
        <v>350</v>
      </c>
      <c r="V9" s="101"/>
      <c r="W9" s="101">
        <f t="shared" ref="W9" si="6">U9+V9</f>
        <v>350</v>
      </c>
      <c r="X9" s="101">
        <f t="shared" ref="X9" si="7">IF(B9="","",(U9*F9))</f>
        <v>17500</v>
      </c>
      <c r="Y9" s="101">
        <f t="shared" ref="Y9" si="8">IF(B9="","",(W9*F9))</f>
        <v>17500</v>
      </c>
      <c r="Z9" s="102">
        <f>IF(A9="","",ROUND(AVERAGE(K9,Q9,W9),0))</f>
        <v>350</v>
      </c>
      <c r="AA9" s="102">
        <f t="shared" ref="AA9" si="9">IF(B9="","",Z9*F9)</f>
        <v>17500</v>
      </c>
      <c r="AB9" s="103">
        <f t="shared" ref="AB9" si="10">IF(B9="","",ROUND(STDEV(M9,S9,Y9),0))</f>
        <v>5000</v>
      </c>
      <c r="AC9" s="77">
        <f>IF(B9="","",(AB9/AA9))</f>
        <v>0.2857142857142857</v>
      </c>
      <c r="AD9" s="5"/>
      <c r="AE9" s="7"/>
      <c r="AF9" s="7" t="e">
        <f>IF(C9="","",VLOOKUP(C9,listaBolsa!$D$2:$BB$276,51,0))</f>
        <v>#N/A</v>
      </c>
      <c r="AG9" s="7"/>
      <c r="AH9" s="7"/>
      <c r="AI9" s="7"/>
      <c r="AJ9" s="7"/>
      <c r="AK9" s="7"/>
      <c r="AL9" s="7"/>
      <c r="AM9" s="7"/>
      <c r="AN9" s="7"/>
      <c r="AO9" s="7"/>
      <c r="AP9" s="7"/>
      <c r="AQ9" s="7"/>
      <c r="AR9" s="7"/>
      <c r="AS9" s="7"/>
      <c r="AT9" s="7"/>
      <c r="AU9" s="7"/>
      <c r="AV9" s="7"/>
      <c r="AW9" s="7"/>
      <c r="AX9" s="7"/>
      <c r="AY9" s="7"/>
      <c r="AZ9" s="7"/>
      <c r="BA9" s="7"/>
      <c r="BB9" s="7"/>
      <c r="BC9" s="7"/>
      <c r="BD9" s="7"/>
      <c r="BE9" s="7"/>
      <c r="BF9" s="7"/>
      <c r="BG9" s="7">
        <v>24</v>
      </c>
      <c r="BH9" s="7"/>
      <c r="BI9" s="7"/>
      <c r="BJ9" s="7"/>
      <c r="BK9" s="7"/>
      <c r="BL9" s="7"/>
      <c r="BM9" s="7"/>
      <c r="BN9" s="7"/>
      <c r="BO9" s="7"/>
      <c r="BP9" s="7"/>
      <c r="BQ9" s="7"/>
      <c r="BR9" s="7"/>
      <c r="BS9" s="7"/>
      <c r="BT9" s="7"/>
      <c r="BU9" s="7"/>
      <c r="BV9" s="7"/>
      <c r="BW9" s="7"/>
      <c r="BX9" s="7"/>
      <c r="BY9" s="7"/>
      <c r="BZ9" s="7"/>
      <c r="CA9" s="7" t="e">
        <f>VLOOKUP(C9,listaBolsa!$D$2:$BA$1248,1,0)</f>
        <v>#N/A</v>
      </c>
      <c r="CB9" s="7" t="e">
        <f>VLOOKUP(C9,listaBolsa!$D$2:$BA$1248,2,0)</f>
        <v>#N/A</v>
      </c>
      <c r="CC9" s="7" t="e">
        <f>VLOOKUP(C9,listaBolsa!$D$2:$BA$1248,10,0)</f>
        <v>#N/A</v>
      </c>
      <c r="CD9" s="7" t="e">
        <f>VLOOKUP(C9,listaBolsa!$D$2:$BA$1248,14,0)</f>
        <v>#N/A</v>
      </c>
      <c r="CE9" s="7" t="e">
        <f>VLOOKUP(C9,listaBolsa!$D$2:$BA$1248,23,0)</f>
        <v>#N/A</v>
      </c>
      <c r="CF9" s="7" t="e">
        <f>VLOOKUP(C9,listaBolsa!$D$2:$BA$1248,29,0)</f>
        <v>#N/A</v>
      </c>
      <c r="CG9" s="7" t="e">
        <f>VLOOKUP(C9,listaBolsa!$D$2:$BA$1248,36,0)</f>
        <v>#N/A</v>
      </c>
      <c r="CH9" s="7" t="e">
        <f>VLOOKUP(C9,listaBolsa!$D$2:$BA$1248,40,0)</f>
        <v>#N/A</v>
      </c>
      <c r="CI9" s="7" t="e">
        <f>VLOOKUP(C9,listaBolsa!$D$2:$BA$1248,48,0)</f>
        <v>#N/A</v>
      </c>
      <c r="CJ9" s="7" t="e">
        <f t="shared" ref="CJ9:CK9" si="11">CA9=C9</f>
        <v>#N/A</v>
      </c>
      <c r="CK9" s="7" t="e">
        <f t="shared" si="11"/>
        <v>#N/A</v>
      </c>
      <c r="CL9" s="7" t="e">
        <f t="shared" ref="CL9:CM9" si="12">CC9=H9</f>
        <v>#N/A</v>
      </c>
      <c r="CM9" s="7" t="e">
        <f t="shared" si="12"/>
        <v>#N/A</v>
      </c>
      <c r="CN9" s="7" t="e">
        <f t="shared" ref="CN9:CO9" si="13">CE9=N9</f>
        <v>#N/A</v>
      </c>
      <c r="CO9" s="7" t="e">
        <f t="shared" si="13"/>
        <v>#N/A</v>
      </c>
      <c r="CP9" s="7" t="e">
        <f t="shared" ref="CP9:CQ9" si="14">CG9=T9</f>
        <v>#N/A</v>
      </c>
      <c r="CQ9" s="7" t="e">
        <f t="shared" si="14"/>
        <v>#N/A</v>
      </c>
      <c r="CR9" s="7" t="e">
        <f t="shared" ref="CR9" si="15">CI9=AC9</f>
        <v>#N/A</v>
      </c>
    </row>
    <row r="10" spans="1:96" s="7" customFormat="1" ht="322.14999999999998" customHeight="1">
      <c r="A10" s="75">
        <v>2</v>
      </c>
      <c r="B10" s="204" t="s">
        <v>1391</v>
      </c>
      <c r="C10" s="205" t="s">
        <v>979</v>
      </c>
      <c r="D10" s="205" t="s">
        <v>980</v>
      </c>
      <c r="E10" s="206" t="s">
        <v>270</v>
      </c>
      <c r="F10" s="207">
        <v>22</v>
      </c>
      <c r="G10" s="205" t="s">
        <v>1116</v>
      </c>
      <c r="H10" s="80" t="str">
        <f>IF(C10="","",VLOOKUP(C10,listaBolsa!$D$2:$W$1118,10,0))</f>
        <v>RUTRASCOL</v>
      </c>
      <c r="I10" s="96">
        <f>IF(C10="","",VLOOKUP(C10,listaBolsa!$D$2:$W$1118,14,0))</f>
        <v>715000</v>
      </c>
      <c r="J10" s="97">
        <f t="shared" ref="J10:J11" si="16">I10*19%</f>
        <v>135850</v>
      </c>
      <c r="K10" s="97">
        <f t="shared" ref="K10:K15" si="17">I10+J10</f>
        <v>850850</v>
      </c>
      <c r="L10" s="97">
        <f t="shared" ref="L10:L15" si="18">IF(B10="","",(I10*F10))</f>
        <v>15730000</v>
      </c>
      <c r="M10" s="97">
        <f t="shared" ref="M10:M15" si="19">IF(B10="","",(K10*F10))</f>
        <v>18718700</v>
      </c>
      <c r="N10" s="81" t="str">
        <f>IF(C10="","",VLOOKUP(C10,listaBolsa!$D$2:$AZ$1276,23,0))</f>
        <v>Destino Express</v>
      </c>
      <c r="O10" s="98">
        <f>IF(C10="","",VLOOKUP(C10,listaBolsa!$D$2:$AZ$1276,27,0))</f>
        <v>715000</v>
      </c>
      <c r="P10" s="99">
        <f t="shared" ref="P10:P12" si="20">O10*19%</f>
        <v>135850</v>
      </c>
      <c r="Q10" s="99">
        <f t="shared" ref="Q10:Q15" si="21">O10+P10</f>
        <v>850850</v>
      </c>
      <c r="R10" s="99">
        <f t="shared" ref="R10:R15" si="22">IF(B10="","",(O10*F10))</f>
        <v>15730000</v>
      </c>
      <c r="S10" s="99">
        <f t="shared" ref="S10:S15" si="23">IF(B10="","",(Q10*F10))</f>
        <v>18718700</v>
      </c>
      <c r="T10" s="76"/>
      <c r="U10" s="100"/>
      <c r="V10" s="101"/>
      <c r="W10" s="101"/>
      <c r="X10" s="101"/>
      <c r="Y10" s="101"/>
      <c r="Z10" s="102">
        <f>IF(A10="","",ROUND(AVERAGE(K10,Q10,W10),0))</f>
        <v>850850</v>
      </c>
      <c r="AA10" s="102">
        <f>IF(B10="","",Z10*F10)</f>
        <v>18718700</v>
      </c>
      <c r="AB10" s="103">
        <f>IF(B10="","",ROUND(STDEV(M10,S10,Y10),0))</f>
        <v>0</v>
      </c>
      <c r="AC10" s="77">
        <f>IF(B10="","",(AB10/AA10))</f>
        <v>0</v>
      </c>
      <c r="AD10" s="5"/>
      <c r="AF10" s="7" t="str">
        <f>IF(C10="","",VLOOKUP(C10,[3]listaBolsa!$D$2:$BB$276,51,0))</f>
        <v>Primer ítem sin IVA  // Segundo ítem sin IVA</v>
      </c>
      <c r="BG10" s="7">
        <v>1</v>
      </c>
      <c r="CA10" s="7" t="str">
        <f>VLOOKUP(C10,[3]listaBolsa!$D$2:$BA$1248,1,0)</f>
        <v>Servicio de transporte zona Rural de la localidad de Suba para  16 a 30 personas por jornada</v>
      </c>
      <c r="CB10" s="7" t="str">
        <f>VLOOKUP(C10,[3]listaBolsa!$D$2:$BA$1248,2,0)</f>
        <v>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CC10" s="7" t="str">
        <f>VLOOKUP(C10,[3]listaBolsa!$D$2:$BA$1248,10,0)</f>
        <v>RUTRASCOL</v>
      </c>
      <c r="CD10" s="7">
        <f>VLOOKUP(C10,[3]listaBolsa!$D$2:$BA$1248,14,0)</f>
        <v>715000</v>
      </c>
      <c r="CE10" s="7" t="str">
        <f>VLOOKUP(C10,[3]listaBolsa!$D$2:$BA$1248,23,0)</f>
        <v>Destino Express</v>
      </c>
      <c r="CF10" s="7">
        <f>VLOOKUP(C10,[3]listaBolsa!$D$2:$BA$1248,29,0)</f>
        <v>715000</v>
      </c>
      <c r="CG10" s="7">
        <f>VLOOKUP(C10,[3]listaBolsa!$D$2:$BA$1248,36,0)</f>
        <v>0</v>
      </c>
      <c r="CH10" s="7">
        <f>VLOOKUP(C10,[3]listaBolsa!$D$2:$BA$1248,40,0)</f>
        <v>0</v>
      </c>
      <c r="CI10" s="7">
        <f>VLOOKUP(C10,[3]listaBolsa!$D$2:$BA$1248,48,0)</f>
        <v>0</v>
      </c>
      <c r="CJ10" s="7" t="b">
        <f t="shared" ref="CJ10:CK13" si="24">CA10=C10</f>
        <v>1</v>
      </c>
      <c r="CK10" s="7" t="b">
        <f t="shared" si="24"/>
        <v>1</v>
      </c>
      <c r="CL10" s="7" t="b">
        <f t="shared" ref="CL10:CM13" si="25">CC10=H10</f>
        <v>1</v>
      </c>
      <c r="CM10" s="7" t="b">
        <f t="shared" si="25"/>
        <v>1</v>
      </c>
      <c r="CN10" s="7" t="b">
        <f t="shared" ref="CN10:CO13" si="26">CE10=N10</f>
        <v>1</v>
      </c>
      <c r="CO10" s="7" t="b">
        <f t="shared" si="26"/>
        <v>1</v>
      </c>
      <c r="CP10" s="7" t="b">
        <f t="shared" ref="CP10:CQ13" si="27">CG10=T10</f>
        <v>1</v>
      </c>
      <c r="CQ10" s="7" t="b">
        <f t="shared" si="27"/>
        <v>1</v>
      </c>
      <c r="CR10" s="7" t="b">
        <f t="shared" ref="CR10:CR13" si="28">CI10=AC10</f>
        <v>1</v>
      </c>
    </row>
    <row r="11" spans="1:96" s="7" customFormat="1" ht="93.75">
      <c r="A11" s="75">
        <v>3</v>
      </c>
      <c r="B11" s="204" t="s">
        <v>1391</v>
      </c>
      <c r="C11" s="205" t="s">
        <v>1641</v>
      </c>
      <c r="D11" s="205" t="s">
        <v>1642</v>
      </c>
      <c r="E11" s="206" t="s">
        <v>185</v>
      </c>
      <c r="F11" s="207">
        <v>60</v>
      </c>
      <c r="G11" s="205" t="s">
        <v>186</v>
      </c>
      <c r="H11" s="80" t="s">
        <v>1643</v>
      </c>
      <c r="I11" s="96">
        <v>518756.3</v>
      </c>
      <c r="J11" s="97">
        <f t="shared" si="16"/>
        <v>98563.697</v>
      </c>
      <c r="K11" s="97">
        <f t="shared" si="17"/>
        <v>617319.99699999997</v>
      </c>
      <c r="L11" s="97">
        <f t="shared" si="18"/>
        <v>31125378</v>
      </c>
      <c r="M11" s="97">
        <f t="shared" si="19"/>
        <v>37039199.82</v>
      </c>
      <c r="N11" s="81" t="s">
        <v>1644</v>
      </c>
      <c r="O11" s="98">
        <v>583852.93999999994</v>
      </c>
      <c r="P11" s="99">
        <f t="shared" si="20"/>
        <v>110932.05859999999</v>
      </c>
      <c r="Q11" s="99">
        <f t="shared" si="21"/>
        <v>694784.99859999993</v>
      </c>
      <c r="R11" s="99">
        <f t="shared" si="22"/>
        <v>35031176.399999999</v>
      </c>
      <c r="S11" s="99">
        <f t="shared" si="23"/>
        <v>41687099.915999994</v>
      </c>
      <c r="T11" s="76" t="s">
        <v>1645</v>
      </c>
      <c r="U11" s="100">
        <v>528453.78</v>
      </c>
      <c r="V11" s="101">
        <f t="shared" ref="V11" si="29">U11*19%</f>
        <v>100406.2182</v>
      </c>
      <c r="W11" s="101">
        <f t="shared" ref="W11:W15" si="30">U11+V11</f>
        <v>628859.99820000003</v>
      </c>
      <c r="X11" s="101">
        <f t="shared" ref="X11:X15" si="31">IF(B11="","",(U11*F11))</f>
        <v>31707226.800000001</v>
      </c>
      <c r="Y11" s="101">
        <f t="shared" ref="Y11:Y15" si="32">IF(B11="","",(W11*F11))</f>
        <v>37731599.892000005</v>
      </c>
      <c r="Z11" s="102">
        <f>IF(A11="","",ROUND(AVERAGE(K11,Q11,W11),0))</f>
        <v>646988</v>
      </c>
      <c r="AA11" s="102">
        <f>IF(B11="","",Z11*F11)</f>
        <v>38819280</v>
      </c>
      <c r="AB11" s="103">
        <f>IF(B11="","",ROUND(STDEV(M11,S11,Y11),0))</f>
        <v>2507601</v>
      </c>
      <c r="AC11" s="77">
        <f>IF(B11="","",(AB11/AA11))</f>
        <v>6.4596793139903672E-2</v>
      </c>
      <c r="AD11" s="5"/>
      <c r="AF11" s="7" t="e">
        <f>IF(C11="","",VLOOKUP(C11,[3]listaBolsa!$D$2:$BB$276,51,0))</f>
        <v>#N/A</v>
      </c>
      <c r="BG11" s="7">
        <v>2</v>
      </c>
      <c r="CA11" s="7" t="e">
        <f>VLOOKUP(C11,[3]listaBolsa!$D$2:$BA$1248,1,0)</f>
        <v>#N/A</v>
      </c>
      <c r="CB11" s="7" t="e">
        <f>VLOOKUP(C11,[3]listaBolsa!$D$2:$BA$1248,2,0)</f>
        <v>#N/A</v>
      </c>
      <c r="CC11" s="7" t="e">
        <f>VLOOKUP(C11,[3]listaBolsa!$D$2:$BA$1248,10,0)</f>
        <v>#N/A</v>
      </c>
      <c r="CD11" s="7" t="e">
        <f>VLOOKUP(C11,[3]listaBolsa!$D$2:$BA$1248,14,0)</f>
        <v>#N/A</v>
      </c>
      <c r="CE11" s="7" t="e">
        <f>VLOOKUP(C11,[3]listaBolsa!$D$2:$BA$1248,23,0)</f>
        <v>#N/A</v>
      </c>
      <c r="CF11" s="7" t="e">
        <f>VLOOKUP(C11,[3]listaBolsa!$D$2:$BA$1248,29,0)</f>
        <v>#N/A</v>
      </c>
      <c r="CG11" s="7" t="e">
        <f>VLOOKUP(C11,[3]listaBolsa!$D$2:$BA$1248,36,0)</f>
        <v>#N/A</v>
      </c>
      <c r="CH11" s="7" t="e">
        <f>VLOOKUP(C11,[3]listaBolsa!$D$2:$BA$1248,40,0)</f>
        <v>#N/A</v>
      </c>
      <c r="CI11" s="7" t="e">
        <f>VLOOKUP(C11,[3]listaBolsa!$D$2:$BA$1248,48,0)</f>
        <v>#N/A</v>
      </c>
      <c r="CJ11" s="7" t="e">
        <f t="shared" si="24"/>
        <v>#N/A</v>
      </c>
      <c r="CK11" s="7" t="e">
        <f t="shared" si="24"/>
        <v>#N/A</v>
      </c>
      <c r="CL11" s="7" t="e">
        <f t="shared" si="25"/>
        <v>#N/A</v>
      </c>
      <c r="CM11" s="7" t="e">
        <f t="shared" si="25"/>
        <v>#N/A</v>
      </c>
      <c r="CN11" s="7" t="e">
        <f t="shared" si="26"/>
        <v>#N/A</v>
      </c>
      <c r="CO11" s="7" t="e">
        <f t="shared" si="26"/>
        <v>#N/A</v>
      </c>
      <c r="CP11" s="7" t="e">
        <f t="shared" si="27"/>
        <v>#N/A</v>
      </c>
      <c r="CQ11" s="7" t="e">
        <f t="shared" si="27"/>
        <v>#N/A</v>
      </c>
      <c r="CR11" s="7" t="e">
        <f t="shared" si="28"/>
        <v>#N/A</v>
      </c>
    </row>
    <row r="12" spans="1:96" s="7" customFormat="1" ht="93.75">
      <c r="A12" s="75">
        <v>4</v>
      </c>
      <c r="B12" s="204" t="s">
        <v>1391</v>
      </c>
      <c r="C12" s="205" t="s">
        <v>1646</v>
      </c>
      <c r="D12" s="205" t="s">
        <v>1647</v>
      </c>
      <c r="E12" s="206" t="s">
        <v>185</v>
      </c>
      <c r="F12" s="207">
        <v>60</v>
      </c>
      <c r="G12" s="205" t="s">
        <v>1116</v>
      </c>
      <c r="H12" s="80" t="s">
        <v>1648</v>
      </c>
      <c r="I12" s="96">
        <v>896000</v>
      </c>
      <c r="J12" s="97"/>
      <c r="K12" s="97">
        <f t="shared" si="17"/>
        <v>896000</v>
      </c>
      <c r="L12" s="97">
        <f t="shared" si="18"/>
        <v>53760000</v>
      </c>
      <c r="M12" s="97">
        <f t="shared" si="19"/>
        <v>53760000</v>
      </c>
      <c r="N12" s="81" t="s">
        <v>1649</v>
      </c>
      <c r="O12" s="98">
        <v>728403.36</v>
      </c>
      <c r="P12" s="99">
        <f t="shared" si="20"/>
        <v>138396.6384</v>
      </c>
      <c r="Q12" s="99">
        <f t="shared" si="21"/>
        <v>866799.99839999992</v>
      </c>
      <c r="R12" s="99">
        <f t="shared" si="22"/>
        <v>43704201.600000001</v>
      </c>
      <c r="S12" s="99">
        <f t="shared" si="23"/>
        <v>52007999.903999999</v>
      </c>
      <c r="T12" s="76"/>
      <c r="U12" s="100"/>
      <c r="V12" s="101"/>
      <c r="W12" s="101"/>
      <c r="X12" s="101"/>
      <c r="Y12" s="101"/>
      <c r="Z12" s="102">
        <f t="shared" ref="Z12" si="33">IF(A12="","",ROUND(AVERAGE(K12,Q12,W12),0))</f>
        <v>881400</v>
      </c>
      <c r="AA12" s="102">
        <f t="shared" ref="AA12" si="34">IF(B12="","",Z12*F12)</f>
        <v>52884000</v>
      </c>
      <c r="AB12" s="103">
        <f t="shared" ref="AB12" si="35">IF(B12="","",ROUND(STDEV(M12,S12,Y12),0))</f>
        <v>1238851</v>
      </c>
      <c r="AC12" s="77">
        <f t="shared" ref="AC12" si="36">IF(B12="","",(AB12/AA12))</f>
        <v>2.3425818773163905E-2</v>
      </c>
      <c r="AD12" s="5"/>
      <c r="AF12" s="7" t="e">
        <f>IF(C12="","",VLOOKUP(C12,[3]listaBolsa!$D$2:$BB$276,51,0))</f>
        <v>#N/A</v>
      </c>
      <c r="BG12" s="7">
        <v>3</v>
      </c>
      <c r="CA12" s="7" t="e">
        <f>VLOOKUP(C12,[3]listaBolsa!$D$2:$BA$1248,1,0)</f>
        <v>#N/A</v>
      </c>
      <c r="CB12" s="7" t="e">
        <f>VLOOKUP(C12,[3]listaBolsa!$D$2:$BA$1248,2,0)</f>
        <v>#N/A</v>
      </c>
      <c r="CC12" s="7" t="e">
        <f>VLOOKUP(C12,[3]listaBolsa!$D$2:$BA$1248,10,0)</f>
        <v>#N/A</v>
      </c>
      <c r="CD12" s="7" t="e">
        <f>VLOOKUP(C12,[3]listaBolsa!$D$2:$BA$1248,14,0)</f>
        <v>#N/A</v>
      </c>
      <c r="CE12" s="7" t="e">
        <f>VLOOKUP(C12,[3]listaBolsa!$D$2:$BA$1248,23,0)</f>
        <v>#N/A</v>
      </c>
      <c r="CF12" s="7" t="e">
        <f>VLOOKUP(C12,[3]listaBolsa!$D$2:$BA$1248,29,0)</f>
        <v>#N/A</v>
      </c>
      <c r="CG12" s="7" t="e">
        <f>VLOOKUP(C12,[3]listaBolsa!$D$2:$BA$1248,36,0)</f>
        <v>#N/A</v>
      </c>
      <c r="CH12" s="7" t="e">
        <f>VLOOKUP(C12,[3]listaBolsa!$D$2:$BA$1248,40,0)</f>
        <v>#N/A</v>
      </c>
      <c r="CI12" s="7" t="e">
        <f>VLOOKUP(C12,[3]listaBolsa!$D$2:$BA$1248,48,0)</f>
        <v>#N/A</v>
      </c>
      <c r="CJ12" s="7" t="e">
        <f t="shared" si="24"/>
        <v>#N/A</v>
      </c>
      <c r="CK12" s="7" t="e">
        <f t="shared" si="24"/>
        <v>#N/A</v>
      </c>
      <c r="CL12" s="7" t="e">
        <f t="shared" si="25"/>
        <v>#N/A</v>
      </c>
      <c r="CM12" s="7" t="e">
        <f t="shared" si="25"/>
        <v>#N/A</v>
      </c>
      <c r="CN12" s="7" t="e">
        <f t="shared" si="26"/>
        <v>#N/A</v>
      </c>
      <c r="CO12" s="7" t="e">
        <f t="shared" si="26"/>
        <v>#N/A</v>
      </c>
      <c r="CP12" s="7" t="e">
        <f t="shared" si="27"/>
        <v>#N/A</v>
      </c>
      <c r="CQ12" s="7" t="e">
        <f t="shared" si="27"/>
        <v>#N/A</v>
      </c>
      <c r="CR12" s="7" t="e">
        <f t="shared" si="28"/>
        <v>#N/A</v>
      </c>
    </row>
    <row r="13" spans="1:96" s="7" customFormat="1" ht="93.75">
      <c r="A13" s="303">
        <v>5</v>
      </c>
      <c r="B13" s="200" t="s">
        <v>1391</v>
      </c>
      <c r="C13" s="309" t="s">
        <v>1650</v>
      </c>
      <c r="D13" s="309" t="s">
        <v>1651</v>
      </c>
      <c r="E13" s="346" t="s">
        <v>185</v>
      </c>
      <c r="F13" s="308">
        <v>60</v>
      </c>
      <c r="G13" s="309" t="s">
        <v>186</v>
      </c>
      <c r="H13" s="272" t="s">
        <v>1652</v>
      </c>
      <c r="I13" s="273">
        <v>600000</v>
      </c>
      <c r="J13" s="274"/>
      <c r="K13" s="274">
        <f t="shared" si="17"/>
        <v>600000</v>
      </c>
      <c r="L13" s="274">
        <f t="shared" si="18"/>
        <v>36000000</v>
      </c>
      <c r="M13" s="274">
        <f t="shared" si="19"/>
        <v>36000000</v>
      </c>
      <c r="N13" s="263" t="s">
        <v>1653</v>
      </c>
      <c r="O13" s="264">
        <v>517824</v>
      </c>
      <c r="P13" s="265"/>
      <c r="Q13" s="265">
        <f t="shared" si="21"/>
        <v>517824</v>
      </c>
      <c r="R13" s="265">
        <f t="shared" si="22"/>
        <v>31069440</v>
      </c>
      <c r="S13" s="265">
        <f t="shared" si="23"/>
        <v>31069440</v>
      </c>
      <c r="T13" s="256"/>
      <c r="U13" s="257"/>
      <c r="V13" s="258"/>
      <c r="W13" s="258"/>
      <c r="X13" s="258"/>
      <c r="Y13" s="258"/>
      <c r="Z13" s="246">
        <f>IF(A13="","",ROUND(AVERAGE(K13,Q13,W13),0))</f>
        <v>558912</v>
      </c>
      <c r="AA13" s="246">
        <f>IF(B13="","",Z13*F13)</f>
        <v>33534720</v>
      </c>
      <c r="AB13" s="247">
        <f>IF(B13="","",ROUND(STDEV(M13,S13,Y13),0))</f>
        <v>3486432</v>
      </c>
      <c r="AC13" s="248">
        <f>IF(B13="","",(AB13/AA13))</f>
        <v>0.10396484598648803</v>
      </c>
      <c r="AD13" s="314"/>
      <c r="AF13" s="7" t="e">
        <f>IF(C13="","",VLOOKUP(C13,[3]listaBolsa!$D$2:$BB$276,51,0))</f>
        <v>#N/A</v>
      </c>
      <c r="BG13" s="7">
        <v>4</v>
      </c>
      <c r="CA13" s="7" t="e">
        <f>VLOOKUP(C13,[3]listaBolsa!$D$2:$BA$1248,1,0)</f>
        <v>#N/A</v>
      </c>
      <c r="CB13" s="7" t="e">
        <f>VLOOKUP(C13,[3]listaBolsa!$D$2:$BA$1248,2,0)</f>
        <v>#N/A</v>
      </c>
      <c r="CC13" s="7" t="e">
        <f>VLOOKUP(C13,[3]listaBolsa!$D$2:$BA$1248,10,0)</f>
        <v>#N/A</v>
      </c>
      <c r="CD13" s="7" t="e">
        <f>VLOOKUP(C13,[3]listaBolsa!$D$2:$BA$1248,14,0)</f>
        <v>#N/A</v>
      </c>
      <c r="CE13" s="7" t="e">
        <f>VLOOKUP(C13,[3]listaBolsa!$D$2:$BA$1248,23,0)</f>
        <v>#N/A</v>
      </c>
      <c r="CF13" s="7" t="e">
        <f>VLOOKUP(C13,[3]listaBolsa!$D$2:$BA$1248,29,0)</f>
        <v>#N/A</v>
      </c>
      <c r="CG13" s="7" t="e">
        <f>VLOOKUP(C13,[3]listaBolsa!$D$2:$BA$1248,36,0)</f>
        <v>#N/A</v>
      </c>
      <c r="CH13" s="7" t="e">
        <f>VLOOKUP(C13,[3]listaBolsa!$D$2:$BA$1248,40,0)</f>
        <v>#N/A</v>
      </c>
      <c r="CI13" s="7" t="e">
        <f>VLOOKUP(C13,[3]listaBolsa!$D$2:$BA$1248,48,0)</f>
        <v>#N/A</v>
      </c>
      <c r="CJ13" s="7" t="e">
        <f t="shared" si="24"/>
        <v>#N/A</v>
      </c>
      <c r="CK13" s="7" t="e">
        <f t="shared" si="24"/>
        <v>#N/A</v>
      </c>
      <c r="CL13" s="7" t="e">
        <f t="shared" si="25"/>
        <v>#N/A</v>
      </c>
      <c r="CM13" s="7" t="e">
        <f t="shared" si="25"/>
        <v>#N/A</v>
      </c>
      <c r="CN13" s="7" t="e">
        <f t="shared" si="26"/>
        <v>#N/A</v>
      </c>
      <c r="CO13" s="7" t="e">
        <f t="shared" si="26"/>
        <v>#N/A</v>
      </c>
      <c r="CP13" s="7" t="e">
        <f t="shared" si="27"/>
        <v>#N/A</v>
      </c>
      <c r="CQ13" s="7" t="e">
        <f t="shared" si="27"/>
        <v>#N/A</v>
      </c>
      <c r="CR13" s="7" t="e">
        <f t="shared" si="28"/>
        <v>#N/A</v>
      </c>
    </row>
    <row r="14" spans="1:96" s="7" customFormat="1" ht="168">
      <c r="A14" s="365"/>
      <c r="B14" s="200" t="s">
        <v>1391</v>
      </c>
      <c r="C14" s="387" t="s">
        <v>1654</v>
      </c>
      <c r="D14" s="357" t="s">
        <v>1655</v>
      </c>
      <c r="E14" s="379" t="s">
        <v>185</v>
      </c>
      <c r="F14" s="356">
        <v>240</v>
      </c>
      <c r="G14" s="357" t="s">
        <v>186</v>
      </c>
      <c r="H14" s="380" t="s">
        <v>1656</v>
      </c>
      <c r="I14" s="381">
        <v>47899</v>
      </c>
      <c r="J14" s="274">
        <f>I14*8%</f>
        <v>3831.92</v>
      </c>
      <c r="K14" s="274">
        <f t="shared" si="17"/>
        <v>51730.92</v>
      </c>
      <c r="L14" s="274">
        <f t="shared" si="18"/>
        <v>11495760</v>
      </c>
      <c r="M14" s="274">
        <f t="shared" si="19"/>
        <v>12415420.799999999</v>
      </c>
      <c r="N14" s="382" t="s">
        <v>1657</v>
      </c>
      <c r="O14" s="383">
        <v>46218</v>
      </c>
      <c r="P14" s="265">
        <f>O14*8%</f>
        <v>3697.44</v>
      </c>
      <c r="Q14" s="265">
        <f t="shared" si="21"/>
        <v>49915.44</v>
      </c>
      <c r="R14" s="265">
        <f t="shared" si="22"/>
        <v>11092320</v>
      </c>
      <c r="S14" s="265">
        <f t="shared" si="23"/>
        <v>11979705.600000001</v>
      </c>
      <c r="T14" s="384" t="s">
        <v>1658</v>
      </c>
      <c r="U14" s="258">
        <v>51261</v>
      </c>
      <c r="V14" s="385">
        <f>U14*8%</f>
        <v>4100.88</v>
      </c>
      <c r="W14" s="258">
        <f t="shared" si="30"/>
        <v>55361.88</v>
      </c>
      <c r="X14" s="258">
        <f t="shared" si="31"/>
        <v>12302640</v>
      </c>
      <c r="Y14" s="258">
        <f t="shared" si="32"/>
        <v>13286851.199999999</v>
      </c>
      <c r="Z14" s="246">
        <v>52336</v>
      </c>
      <c r="AA14" s="246">
        <f>IF(B14="","",Z14*F14)</f>
        <v>12560640</v>
      </c>
      <c r="AB14" s="247">
        <f>IF(B14="","",ROUND(STDEV(M14,S14,Y14),0))</f>
        <v>665566</v>
      </c>
      <c r="AC14" s="248">
        <f>IF(B14="","",(AB14/AA14))</f>
        <v>5.2988223530011209E-2</v>
      </c>
      <c r="AD14" s="386"/>
      <c r="AF14" s="7" t="e">
        <f>IF(C14="","",VLOOKUP(C14,[3]listaBolsa!$D$2:$BB$276,51,0))</f>
        <v>#N/A</v>
      </c>
    </row>
    <row r="15" spans="1:96" s="7" customFormat="1" ht="93.75">
      <c r="A15" s="295"/>
      <c r="B15" s="388" t="s">
        <v>1391</v>
      </c>
      <c r="C15" s="298" t="s">
        <v>1659</v>
      </c>
      <c r="D15" s="298" t="s">
        <v>269</v>
      </c>
      <c r="E15" s="366" t="s">
        <v>185</v>
      </c>
      <c r="F15" s="297">
        <v>300</v>
      </c>
      <c r="G15" s="298" t="s">
        <v>186</v>
      </c>
      <c r="H15" s="367" t="s">
        <v>272</v>
      </c>
      <c r="I15" s="368">
        <v>37000</v>
      </c>
      <c r="J15" s="369">
        <f>I15*8%</f>
        <v>2960</v>
      </c>
      <c r="K15" s="369">
        <f t="shared" si="17"/>
        <v>39960</v>
      </c>
      <c r="L15" s="369">
        <f t="shared" si="18"/>
        <v>11100000</v>
      </c>
      <c r="M15" s="369">
        <f t="shared" si="19"/>
        <v>11988000</v>
      </c>
      <c r="N15" s="370" t="s">
        <v>1660</v>
      </c>
      <c r="O15" s="371">
        <v>45000</v>
      </c>
      <c r="P15" s="372">
        <f>O15*8%</f>
        <v>3600</v>
      </c>
      <c r="Q15" s="372">
        <f t="shared" si="21"/>
        <v>48600</v>
      </c>
      <c r="R15" s="372">
        <f t="shared" si="22"/>
        <v>13500000</v>
      </c>
      <c r="S15" s="372">
        <f t="shared" si="23"/>
        <v>14580000</v>
      </c>
      <c r="T15" s="373" t="s">
        <v>278</v>
      </c>
      <c r="U15" s="374">
        <v>31512</v>
      </c>
      <c r="V15" s="375">
        <f>U15*8%</f>
        <v>2520.96</v>
      </c>
      <c r="W15" s="375">
        <f t="shared" si="30"/>
        <v>34032.959999999999</v>
      </c>
      <c r="X15" s="375">
        <f t="shared" si="31"/>
        <v>9453600</v>
      </c>
      <c r="Y15" s="375">
        <f t="shared" si="32"/>
        <v>10209888</v>
      </c>
      <c r="Z15" s="376">
        <v>40864</v>
      </c>
      <c r="AA15" s="376">
        <f>IF(B15="","",Z15*F15)</f>
        <v>12259200</v>
      </c>
      <c r="AB15" s="377">
        <f>IF(B15="","",ROUND(STDEV(M15,S15,Y15),0))</f>
        <v>2197651</v>
      </c>
      <c r="AC15" s="378">
        <f>IF(B15="","",(AB15/AA15))</f>
        <v>0.17926544962150875</v>
      </c>
      <c r="AD15" s="302"/>
    </row>
    <row r="16" spans="1:96">
      <c r="A16" s="487" t="s">
        <v>1661</v>
      </c>
      <c r="B16" s="487"/>
      <c r="C16" s="487"/>
      <c r="D16" s="487"/>
      <c r="E16" s="487"/>
      <c r="F16" s="487"/>
      <c r="G16" s="487"/>
      <c r="H16" s="487"/>
      <c r="I16" s="487"/>
      <c r="J16" s="487"/>
      <c r="K16" s="487"/>
      <c r="L16" s="487"/>
      <c r="M16" s="487"/>
      <c r="N16" s="487"/>
      <c r="O16" s="487"/>
      <c r="P16" s="487"/>
      <c r="Q16" s="487"/>
      <c r="R16" s="487"/>
      <c r="S16" s="487"/>
      <c r="T16" s="487"/>
      <c r="U16" s="487"/>
      <c r="V16" s="487"/>
      <c r="W16" s="487"/>
      <c r="X16" s="487"/>
      <c r="Y16" s="487"/>
      <c r="Z16" s="487"/>
      <c r="AA16" s="358">
        <f>SUM(AA9:AA15)</f>
        <v>168794040</v>
      </c>
    </row>
    <row r="17" spans="12:18">
      <c r="L17" s="70"/>
      <c r="M17" s="70"/>
    </row>
    <row r="18" spans="12:18">
      <c r="L18" s="70"/>
      <c r="M18" s="70"/>
      <c r="P18" s="341"/>
      <c r="Q18" s="341"/>
      <c r="R18" s="341"/>
    </row>
    <row r="19" spans="12:18">
      <c r="L19" s="70"/>
      <c r="M19" s="70"/>
    </row>
    <row r="20" spans="12:18"/>
    <row r="21" spans="12:18">
      <c r="N21" s="3" t="s">
        <v>1662</v>
      </c>
    </row>
  </sheetData>
  <sheetProtection formatColumns="0" formatRows="0" insertColumns="0" insertRows="0" autoFilter="0"/>
  <mergeCells count="14">
    <mergeCell ref="A3:M3"/>
    <mergeCell ref="N3:W6"/>
    <mergeCell ref="A4:B6"/>
    <mergeCell ref="D4:L4"/>
    <mergeCell ref="A16:Z16"/>
    <mergeCell ref="H7:M7"/>
    <mergeCell ref="N7:S7"/>
    <mergeCell ref="T7:Y7"/>
    <mergeCell ref="Z7:AC7"/>
    <mergeCell ref="Z4:AA4"/>
    <mergeCell ref="D5:M5"/>
    <mergeCell ref="Z5:AA5"/>
    <mergeCell ref="F6:M6"/>
    <mergeCell ref="Z6:AA6"/>
  </mergeCells>
  <conditionalFormatting sqref="AC10:AC15">
    <cfRule type="cellIs" dxfId="2" priority="2" stopIfTrue="1" operator="greaterThan">
      <formula>0.2</formula>
    </cfRule>
  </conditionalFormatting>
  <conditionalFormatting sqref="AC9">
    <cfRule type="cellIs" dxfId="1"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0263DB3-DDEA-406A-875D-ECE7E1D87FE8}">
          <x14:formula1>
            <xm:f>Lista!$V$8:$V$14</xm:f>
          </x14:formula1>
          <xm:sqref>D5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01231-84C3-484A-9FAE-00713731B785}">
  <sheetPr>
    <pageSetUpPr fitToPage="1"/>
  </sheetPr>
  <dimension ref="A3:CR75"/>
  <sheetViews>
    <sheetView view="pageBreakPreview" topLeftCell="O1" zoomScale="40" zoomScaleNormal="40" zoomScaleSheetLayoutView="40" workbookViewId="0">
      <selection activeCell="AD65" sqref="AD65"/>
    </sheetView>
  </sheetViews>
  <sheetFormatPr defaultColWidth="11.42578125" defaultRowHeight="15" customHeight="1"/>
  <cols>
    <col min="1" max="1" width="17.140625" style="3" customWidth="1"/>
    <col min="2" max="2" width="24.42578125" style="3" customWidth="1"/>
    <col min="3" max="3" width="52.42578125" style="3" customWidth="1"/>
    <col min="4" max="4" width="166.140625" style="3" customWidth="1"/>
    <col min="5" max="7" width="28.42578125" style="3" customWidth="1"/>
    <col min="8" max="8" width="31.42578125" style="3" customWidth="1"/>
    <col min="9" max="13" width="25.42578125" style="3" customWidth="1"/>
    <col min="14" max="14" width="39" style="3" customWidth="1"/>
    <col min="15" max="15" width="29.85546875" style="3" bestFit="1" customWidth="1"/>
    <col min="16" max="16" width="24.42578125" style="3" customWidth="1"/>
    <col min="17" max="17" width="29.85546875" style="3" bestFit="1" customWidth="1"/>
    <col min="18" max="18" width="30.42578125" style="3" bestFit="1" customWidth="1"/>
    <col min="19" max="19" width="31.140625" style="3" bestFit="1" customWidth="1"/>
    <col min="20" max="20" width="52.42578125" style="3" bestFit="1" customWidth="1"/>
    <col min="21" max="21" width="29.85546875" style="3" bestFit="1" customWidth="1"/>
    <col min="22" max="22" width="23.5703125" style="3" bestFit="1" customWidth="1"/>
    <col min="23" max="23" width="29.85546875" style="3" bestFit="1" customWidth="1"/>
    <col min="24" max="24" width="30.42578125" style="3" bestFit="1" customWidth="1"/>
    <col min="25" max="25" width="31.140625" style="3" bestFit="1" customWidth="1"/>
    <col min="26" max="26" width="33" style="3" bestFit="1" customWidth="1"/>
    <col min="27" max="27" width="35.85546875" style="3" customWidth="1"/>
    <col min="28" max="28" width="53.42578125" style="3" customWidth="1"/>
    <col min="29" max="29" width="24.42578125" style="3" customWidth="1"/>
    <col min="30" max="30" width="56.42578125" style="3" customWidth="1"/>
    <col min="31" max="31" width="18.5703125" style="3" bestFit="1" customWidth="1"/>
    <col min="32" max="32" width="39.42578125" style="3" customWidth="1"/>
    <col min="33" max="55" width="11.42578125" style="3" customWidth="1"/>
    <col min="56" max="56" width="5.42578125" style="3" customWidth="1"/>
    <col min="57" max="78" width="11.42578125" style="3" customWidth="1"/>
    <col min="79" max="79" width="26.42578125" style="3" hidden="1" customWidth="1"/>
    <col min="80" max="80" width="40.42578125" style="3" hidden="1" customWidth="1"/>
    <col min="81" max="87" width="11.42578125" style="3" hidden="1" customWidth="1"/>
    <col min="88" max="88" width="24.140625" style="3" hidden="1" customWidth="1"/>
    <col min="89" max="92" width="15.140625" style="3" hidden="1" customWidth="1"/>
    <col min="93" max="93" width="11.140625" style="3" hidden="1" customWidth="1"/>
    <col min="94" max="96" width="15.140625" style="3" hidden="1" customWidth="1"/>
    <col min="97" max="16384" width="11.42578125" style="3"/>
  </cols>
  <sheetData>
    <row r="3" spans="1:96" s="1" customFormat="1" ht="93.75">
      <c r="A3" s="428" t="s">
        <v>1312</v>
      </c>
      <c r="B3" s="428"/>
      <c r="C3" s="428"/>
      <c r="D3" s="428"/>
      <c r="E3" s="428"/>
      <c r="F3" s="428"/>
      <c r="G3" s="428"/>
      <c r="H3" s="428"/>
      <c r="I3" s="428"/>
      <c r="J3" s="428"/>
      <c r="K3" s="428"/>
      <c r="L3" s="428"/>
      <c r="M3" s="428"/>
      <c r="N3" s="439" t="s">
        <v>8</v>
      </c>
      <c r="O3" s="439"/>
      <c r="P3" s="439"/>
      <c r="Q3" s="439"/>
      <c r="R3" s="439"/>
      <c r="S3" s="439"/>
      <c r="T3" s="439"/>
      <c r="U3" s="439"/>
      <c r="V3" s="439"/>
      <c r="W3" s="439"/>
      <c r="X3" s="33"/>
      <c r="Y3" s="33"/>
      <c r="Z3" s="33"/>
      <c r="AA3" s="33"/>
      <c r="AB3" s="33"/>
      <c r="AC3" s="33"/>
    </row>
    <row r="4" spans="1:96" s="2" customFormat="1" ht="93.75">
      <c r="A4" s="429"/>
      <c r="B4" s="429"/>
      <c r="C4" s="45" t="s">
        <v>14</v>
      </c>
      <c r="D4" s="440" t="s">
        <v>1313</v>
      </c>
      <c r="E4" s="440"/>
      <c r="F4" s="440"/>
      <c r="G4" s="440"/>
      <c r="H4" s="440"/>
      <c r="I4" s="440"/>
      <c r="J4" s="440"/>
      <c r="K4" s="440"/>
      <c r="L4" s="441"/>
      <c r="M4" s="282"/>
      <c r="N4" s="439"/>
      <c r="O4" s="439"/>
      <c r="P4" s="439"/>
      <c r="Q4" s="439"/>
      <c r="R4" s="439"/>
      <c r="S4" s="439"/>
      <c r="T4" s="439"/>
      <c r="U4" s="439"/>
      <c r="V4" s="439"/>
      <c r="W4" s="439"/>
      <c r="Z4" s="432" t="s">
        <v>1314</v>
      </c>
      <c r="AA4" s="432"/>
      <c r="AB4" s="73" t="e">
        <f>IF(B9="","",#REF!)</f>
        <v>#REF!</v>
      </c>
      <c r="AC4" s="38"/>
    </row>
    <row r="5" spans="1:96" s="2" customFormat="1" ht="93.75">
      <c r="A5" s="429"/>
      <c r="B5" s="429"/>
      <c r="C5" s="45" t="s">
        <v>10</v>
      </c>
      <c r="D5" s="431" t="s">
        <v>106</v>
      </c>
      <c r="E5" s="431"/>
      <c r="F5" s="431"/>
      <c r="G5" s="431"/>
      <c r="H5" s="431"/>
      <c r="I5" s="431"/>
      <c r="J5" s="431"/>
      <c r="K5" s="431"/>
      <c r="L5" s="431"/>
      <c r="M5" s="431"/>
      <c r="N5" s="439"/>
      <c r="O5" s="439"/>
      <c r="P5" s="439"/>
      <c r="Q5" s="439"/>
      <c r="R5" s="439"/>
      <c r="S5" s="439"/>
      <c r="T5" s="439"/>
      <c r="U5" s="439"/>
      <c r="V5" s="439"/>
      <c r="W5" s="439"/>
      <c r="Z5" s="432" t="s">
        <v>1315</v>
      </c>
      <c r="AA5" s="432"/>
      <c r="AB5" s="73" t="e">
        <f>+#REF!</f>
        <v>#REF!</v>
      </c>
      <c r="AC5" s="38"/>
      <c r="AD5" s="104" t="s">
        <v>1316</v>
      </c>
    </row>
    <row r="6" spans="1:96" s="2" customFormat="1" ht="47.45" customHeight="1">
      <c r="A6" s="429"/>
      <c r="B6" s="429"/>
      <c r="C6" s="82" t="s">
        <v>11</v>
      </c>
      <c r="D6" s="95" t="s">
        <v>1663</v>
      </c>
      <c r="E6" s="82" t="s">
        <v>12</v>
      </c>
      <c r="F6" s="430"/>
      <c r="G6" s="430"/>
      <c r="H6" s="430"/>
      <c r="I6" s="430"/>
      <c r="J6" s="430"/>
      <c r="K6" s="430"/>
      <c r="L6" s="430"/>
      <c r="M6" s="430"/>
      <c r="N6" s="439"/>
      <c r="O6" s="439"/>
      <c r="P6" s="439"/>
      <c r="Q6" s="439"/>
      <c r="R6" s="439"/>
      <c r="S6" s="439"/>
      <c r="T6" s="439"/>
      <c r="U6" s="439"/>
      <c r="V6" s="439"/>
      <c r="W6" s="439"/>
      <c r="Z6" s="432" t="s">
        <v>1318</v>
      </c>
      <c r="AA6" s="432"/>
      <c r="AB6" s="74" t="e">
        <f>IF(B9="","",(AB4+AB5))</f>
        <v>#REF!</v>
      </c>
      <c r="AD6" s="78"/>
      <c r="AE6" s="79"/>
      <c r="CA6">
        <v>1</v>
      </c>
      <c r="CB6">
        <v>2</v>
      </c>
      <c r="CC6">
        <v>10</v>
      </c>
      <c r="CD6">
        <v>14</v>
      </c>
      <c r="CE6">
        <v>23</v>
      </c>
      <c r="CF6">
        <v>29</v>
      </c>
      <c r="CG6">
        <v>36</v>
      </c>
      <c r="CH6">
        <v>40</v>
      </c>
      <c r="CI6"/>
      <c r="CJ6">
        <v>48</v>
      </c>
    </row>
    <row r="7" spans="1:96" s="18" customFormat="1" ht="24">
      <c r="H7" s="442" t="s">
        <v>16</v>
      </c>
      <c r="I7" s="443"/>
      <c r="J7" s="443"/>
      <c r="K7" s="443"/>
      <c r="L7" s="443"/>
      <c r="M7" s="444"/>
      <c r="N7" s="433" t="s">
        <v>17</v>
      </c>
      <c r="O7" s="434"/>
      <c r="P7" s="434"/>
      <c r="Q7" s="434"/>
      <c r="R7" s="434"/>
      <c r="S7" s="435"/>
      <c r="T7" s="436" t="s">
        <v>18</v>
      </c>
      <c r="U7" s="437"/>
      <c r="V7" s="437"/>
      <c r="W7" s="437"/>
      <c r="X7" s="437"/>
      <c r="Y7" s="438"/>
      <c r="Z7" s="426" t="s">
        <v>20</v>
      </c>
      <c r="AA7" s="427"/>
      <c r="AB7" s="427"/>
      <c r="AC7" s="427"/>
      <c r="CA7" s="18" t="s">
        <v>1321</v>
      </c>
      <c r="CJ7" s="18" t="s">
        <v>1322</v>
      </c>
    </row>
    <row r="8" spans="1:96" s="90" customFormat="1" ht="103.15" customHeight="1">
      <c r="A8" s="91" t="s">
        <v>22</v>
      </c>
      <c r="B8" s="91" t="s">
        <v>23</v>
      </c>
      <c r="C8" s="91" t="s">
        <v>1323</v>
      </c>
      <c r="D8" s="91" t="s">
        <v>25</v>
      </c>
      <c r="E8" s="91" t="s">
        <v>26</v>
      </c>
      <c r="F8" s="91" t="s">
        <v>27</v>
      </c>
      <c r="G8" s="91" t="s">
        <v>160</v>
      </c>
      <c r="H8" s="92" t="s">
        <v>28</v>
      </c>
      <c r="I8" s="92" t="s">
        <v>29</v>
      </c>
      <c r="J8" s="92" t="s">
        <v>1324</v>
      </c>
      <c r="K8" s="92" t="s">
        <v>31</v>
      </c>
      <c r="L8" s="92" t="s">
        <v>32</v>
      </c>
      <c r="M8" s="92" t="s">
        <v>33</v>
      </c>
      <c r="N8" s="91" t="s">
        <v>34</v>
      </c>
      <c r="O8" s="91" t="s">
        <v>29</v>
      </c>
      <c r="P8" s="91" t="s">
        <v>1325</v>
      </c>
      <c r="Q8" s="91" t="s">
        <v>31</v>
      </c>
      <c r="R8" s="91" t="s">
        <v>32</v>
      </c>
      <c r="S8" s="91" t="s">
        <v>33</v>
      </c>
      <c r="T8" s="93" t="s">
        <v>35</v>
      </c>
      <c r="U8" s="93" t="s">
        <v>29</v>
      </c>
      <c r="V8" s="93" t="s">
        <v>30</v>
      </c>
      <c r="W8" s="93" t="s">
        <v>31</v>
      </c>
      <c r="X8" s="93" t="s">
        <v>32</v>
      </c>
      <c r="Y8" s="93" t="s">
        <v>33</v>
      </c>
      <c r="Z8" s="92" t="s">
        <v>37</v>
      </c>
      <c r="AA8" s="92" t="s">
        <v>38</v>
      </c>
      <c r="AB8" s="92" t="s">
        <v>39</v>
      </c>
      <c r="AC8" s="92" t="s">
        <v>40</v>
      </c>
      <c r="AD8" s="94" t="s">
        <v>45</v>
      </c>
      <c r="CA8" s="90" t="s">
        <v>1326</v>
      </c>
      <c r="CB8" s="90" t="s">
        <v>1327</v>
      </c>
      <c r="CC8" s="90" t="s">
        <v>1328</v>
      </c>
      <c r="CD8" s="90" t="s">
        <v>1329</v>
      </c>
      <c r="CE8" s="90" t="s">
        <v>1330</v>
      </c>
      <c r="CF8" s="90" t="s">
        <v>1331</v>
      </c>
      <c r="CG8" s="90" t="s">
        <v>1332</v>
      </c>
      <c r="CH8" s="90" t="s">
        <v>1333</v>
      </c>
      <c r="CI8" s="90" t="s">
        <v>1334</v>
      </c>
      <c r="CJ8" s="90" t="s">
        <v>1326</v>
      </c>
      <c r="CK8" s="90" t="s">
        <v>1327</v>
      </c>
      <c r="CL8" s="90" t="s">
        <v>1328</v>
      </c>
      <c r="CM8" s="90" t="s">
        <v>1329</v>
      </c>
      <c r="CN8" s="90" t="s">
        <v>1330</v>
      </c>
      <c r="CO8" s="90" t="s">
        <v>1331</v>
      </c>
      <c r="CP8" s="90" t="s">
        <v>1332</v>
      </c>
      <c r="CQ8" s="90" t="s">
        <v>1333</v>
      </c>
      <c r="CR8" s="90" t="s">
        <v>1334</v>
      </c>
    </row>
    <row r="9" spans="1:96" s="7" customFormat="1" ht="81" customHeight="1">
      <c r="A9" s="75">
        <f t="shared" ref="A9:A69" si="0">IF(B9&lt;&gt;"",BG9,"")</f>
        <v>1</v>
      </c>
      <c r="B9" s="210" t="s">
        <v>1491</v>
      </c>
      <c r="C9" s="216" t="s">
        <v>1664</v>
      </c>
      <c r="D9" s="217" t="s">
        <v>1665</v>
      </c>
      <c r="E9" s="211" t="s">
        <v>185</v>
      </c>
      <c r="F9" s="207">
        <v>1</v>
      </c>
      <c r="G9" s="205" t="s">
        <v>186</v>
      </c>
      <c r="H9" s="283" t="s">
        <v>1666</v>
      </c>
      <c r="I9" s="284" t="s">
        <v>1667</v>
      </c>
      <c r="J9" s="284" t="s">
        <v>256</v>
      </c>
      <c r="K9" s="284" t="s">
        <v>1668</v>
      </c>
      <c r="L9" s="284" t="s">
        <v>1669</v>
      </c>
      <c r="M9" s="284" t="s">
        <v>1668</v>
      </c>
      <c r="N9" s="285" t="s">
        <v>1670</v>
      </c>
      <c r="O9" s="285" t="s">
        <v>1671</v>
      </c>
      <c r="P9" s="285" t="s">
        <v>256</v>
      </c>
      <c r="Q9" s="285" t="s">
        <v>1671</v>
      </c>
      <c r="R9" s="285" t="s">
        <v>1672</v>
      </c>
      <c r="S9" s="285" t="s">
        <v>1673</v>
      </c>
      <c r="T9" s="286" t="s">
        <v>1674</v>
      </c>
      <c r="U9" s="286" t="s">
        <v>1675</v>
      </c>
      <c r="V9" s="286" t="s">
        <v>256</v>
      </c>
      <c r="W9" s="286" t="s">
        <v>1675</v>
      </c>
      <c r="X9" s="286" t="s">
        <v>1676</v>
      </c>
      <c r="Y9" s="286" t="s">
        <v>1677</v>
      </c>
      <c r="Z9" s="287" t="s">
        <v>1678</v>
      </c>
      <c r="AA9" s="287" t="s">
        <v>1679</v>
      </c>
      <c r="AB9" s="287" t="s">
        <v>1680</v>
      </c>
      <c r="AC9" s="288">
        <v>3.7900000000000003E-2</v>
      </c>
      <c r="AD9" s="5"/>
      <c r="AF9" s="7" t="e">
        <f>IF(C9="","",VLOOKUP(C9,[3]listaBolsa!$D$2:$BB$276,51,0))</f>
        <v>#N/A</v>
      </c>
      <c r="BG9" s="7">
        <v>1</v>
      </c>
      <c r="CA9" s="7" t="e">
        <f>VLOOKUP(C9,[3]listaBolsa!$D$2:$BA$1248,1,0)</f>
        <v>#N/A</v>
      </c>
      <c r="CB9" s="7" t="e">
        <f>VLOOKUP(C9,[3]listaBolsa!$D$2:$BA$1248,2,0)</f>
        <v>#N/A</v>
      </c>
      <c r="CC9" s="7" t="e">
        <f>VLOOKUP(C9,[3]listaBolsa!$D$2:$BA$1248,10,0)</f>
        <v>#N/A</v>
      </c>
      <c r="CD9" s="7" t="e">
        <f>VLOOKUP(C9,[3]listaBolsa!$D$2:$BA$1248,14,0)</f>
        <v>#N/A</v>
      </c>
      <c r="CE9" s="7" t="e">
        <f>VLOOKUP(C9,[3]listaBolsa!$D$2:$BA$1248,23,0)</f>
        <v>#N/A</v>
      </c>
      <c r="CF9" s="7" t="e">
        <f>VLOOKUP(C9,[3]listaBolsa!$D$2:$BA$1248,29,0)</f>
        <v>#N/A</v>
      </c>
      <c r="CG9" s="7" t="e">
        <f>VLOOKUP(C9,[3]listaBolsa!$D$2:$BA$1248,36,0)</f>
        <v>#N/A</v>
      </c>
      <c r="CH9" s="7" t="e">
        <f>VLOOKUP(C9,[3]listaBolsa!$D$2:$BA$1248,40,0)</f>
        <v>#N/A</v>
      </c>
      <c r="CI9" s="7" t="e">
        <f>VLOOKUP(C9,[3]listaBolsa!$D$2:$BA$1248,48,0)</f>
        <v>#N/A</v>
      </c>
      <c r="CJ9" s="7" t="e">
        <f t="shared" ref="CJ9:CK40" si="1">CA9=C9</f>
        <v>#N/A</v>
      </c>
      <c r="CK9" s="7" t="e">
        <f t="shared" si="1"/>
        <v>#N/A</v>
      </c>
      <c r="CL9" s="7" t="e">
        <f t="shared" ref="CL9:CM40" si="2">CC9=H9</f>
        <v>#N/A</v>
      </c>
      <c r="CM9" s="7" t="e">
        <f t="shared" si="2"/>
        <v>#N/A</v>
      </c>
      <c r="CN9" s="7" t="e">
        <f t="shared" ref="CN9:CO40" si="3">CE9=N9</f>
        <v>#N/A</v>
      </c>
      <c r="CO9" s="7" t="e">
        <f t="shared" si="3"/>
        <v>#N/A</v>
      </c>
      <c r="CP9" s="7" t="e">
        <f t="shared" ref="CP9:CQ40" si="4">CG9=T9</f>
        <v>#N/A</v>
      </c>
      <c r="CQ9" s="7" t="e">
        <f t="shared" si="4"/>
        <v>#N/A</v>
      </c>
      <c r="CR9" s="7" t="e">
        <f t="shared" ref="CR9:CR69" si="5">CI9=AC9</f>
        <v>#N/A</v>
      </c>
    </row>
    <row r="10" spans="1:96" s="7" customFormat="1" ht="117">
      <c r="A10" s="75">
        <f t="shared" si="0"/>
        <v>2</v>
      </c>
      <c r="B10" s="210" t="s">
        <v>1491</v>
      </c>
      <c r="C10" s="218" t="s">
        <v>1681</v>
      </c>
      <c r="D10" s="219" t="s">
        <v>1682</v>
      </c>
      <c r="E10" s="211" t="s">
        <v>185</v>
      </c>
      <c r="F10" s="207">
        <v>1</v>
      </c>
      <c r="G10" s="205" t="s">
        <v>186</v>
      </c>
      <c r="H10" s="283" t="s">
        <v>1666</v>
      </c>
      <c r="I10" s="284" t="s">
        <v>1683</v>
      </c>
      <c r="J10" s="284" t="s">
        <v>256</v>
      </c>
      <c r="K10" s="284" t="s">
        <v>1684</v>
      </c>
      <c r="L10" s="284" t="s">
        <v>1685</v>
      </c>
      <c r="M10" s="284" t="s">
        <v>1684</v>
      </c>
      <c r="N10" s="285" t="s">
        <v>1670</v>
      </c>
      <c r="O10" s="285" t="s">
        <v>1675</v>
      </c>
      <c r="P10" s="285" t="s">
        <v>256</v>
      </c>
      <c r="Q10" s="285" t="s">
        <v>1675</v>
      </c>
      <c r="R10" s="285" t="s">
        <v>1676</v>
      </c>
      <c r="S10" s="285" t="s">
        <v>1677</v>
      </c>
      <c r="T10" s="286" t="s">
        <v>1674</v>
      </c>
      <c r="U10" s="286" t="s">
        <v>1686</v>
      </c>
      <c r="V10" s="286" t="s">
        <v>256</v>
      </c>
      <c r="W10" s="286" t="s">
        <v>1686</v>
      </c>
      <c r="X10" s="286" t="s">
        <v>1687</v>
      </c>
      <c r="Y10" s="286" t="s">
        <v>1688</v>
      </c>
      <c r="Z10" s="287" t="s">
        <v>1689</v>
      </c>
      <c r="AA10" s="287" t="s">
        <v>1690</v>
      </c>
      <c r="AB10" s="287" t="s">
        <v>1691</v>
      </c>
      <c r="AC10" s="288">
        <v>8.3099999999999993E-2</v>
      </c>
      <c r="AD10" s="5"/>
      <c r="AF10" s="7" t="e">
        <f>IF(C10="","",VLOOKUP(C10,[3]listaBolsa!$D$2:$BB$276,51,0))</f>
        <v>#N/A</v>
      </c>
      <c r="BG10" s="7">
        <v>2</v>
      </c>
      <c r="CA10" s="7" t="e">
        <f>VLOOKUP(C10,[3]listaBolsa!$D$2:$BA$1248,1,0)</f>
        <v>#N/A</v>
      </c>
      <c r="CB10" s="7" t="e">
        <f>VLOOKUP(C10,[3]listaBolsa!$D$2:$BA$1248,2,0)</f>
        <v>#N/A</v>
      </c>
      <c r="CC10" s="7" t="e">
        <f>VLOOKUP(C10,[3]listaBolsa!$D$2:$BA$1248,10,0)</f>
        <v>#N/A</v>
      </c>
      <c r="CD10" s="7" t="e">
        <f>VLOOKUP(C10,[3]listaBolsa!$D$2:$BA$1248,14,0)</f>
        <v>#N/A</v>
      </c>
      <c r="CE10" s="7" t="e">
        <f>VLOOKUP(C10,[3]listaBolsa!$D$2:$BA$1248,23,0)</f>
        <v>#N/A</v>
      </c>
      <c r="CF10" s="7" t="e">
        <f>VLOOKUP(C10,[3]listaBolsa!$D$2:$BA$1248,29,0)</f>
        <v>#N/A</v>
      </c>
      <c r="CG10" s="7" t="e">
        <f>VLOOKUP(C10,[3]listaBolsa!$D$2:$BA$1248,36,0)</f>
        <v>#N/A</v>
      </c>
      <c r="CH10" s="7" t="e">
        <f>VLOOKUP(C10,[3]listaBolsa!$D$2:$BA$1248,40,0)</f>
        <v>#N/A</v>
      </c>
      <c r="CI10" s="7" t="e">
        <f>VLOOKUP(C10,[3]listaBolsa!$D$2:$BA$1248,48,0)</f>
        <v>#N/A</v>
      </c>
      <c r="CJ10" s="7" t="e">
        <f t="shared" si="1"/>
        <v>#N/A</v>
      </c>
      <c r="CK10" s="7" t="e">
        <f t="shared" si="1"/>
        <v>#N/A</v>
      </c>
      <c r="CL10" s="7" t="e">
        <f t="shared" si="2"/>
        <v>#N/A</v>
      </c>
      <c r="CM10" s="7" t="e">
        <f t="shared" si="2"/>
        <v>#N/A</v>
      </c>
      <c r="CN10" s="7" t="e">
        <f t="shared" si="3"/>
        <v>#N/A</v>
      </c>
      <c r="CO10" s="7" t="e">
        <f t="shared" si="3"/>
        <v>#N/A</v>
      </c>
      <c r="CP10" s="7" t="e">
        <f t="shared" si="4"/>
        <v>#N/A</v>
      </c>
      <c r="CQ10" s="7" t="e">
        <f t="shared" si="4"/>
        <v>#N/A</v>
      </c>
      <c r="CR10" s="7" t="e">
        <f t="shared" si="5"/>
        <v>#N/A</v>
      </c>
    </row>
    <row r="11" spans="1:96" s="7" customFormat="1" ht="117">
      <c r="A11" s="75">
        <f t="shared" si="0"/>
        <v>3</v>
      </c>
      <c r="B11" s="210" t="s">
        <v>1491</v>
      </c>
      <c r="C11" s="218" t="s">
        <v>1692</v>
      </c>
      <c r="D11" s="219" t="s">
        <v>1693</v>
      </c>
      <c r="E11" s="211" t="s">
        <v>185</v>
      </c>
      <c r="F11" s="207">
        <v>1</v>
      </c>
      <c r="G11" s="205" t="s">
        <v>186</v>
      </c>
      <c r="H11" s="289" t="s">
        <v>1666</v>
      </c>
      <c r="I11" s="290" t="s">
        <v>1667</v>
      </c>
      <c r="J11" s="290" t="s">
        <v>256</v>
      </c>
      <c r="K11" s="290" t="s">
        <v>1668</v>
      </c>
      <c r="L11" s="290" t="s">
        <v>1669</v>
      </c>
      <c r="M11" s="290" t="s">
        <v>1668</v>
      </c>
      <c r="N11" s="291" t="s">
        <v>1670</v>
      </c>
      <c r="O11" s="291" t="s">
        <v>1694</v>
      </c>
      <c r="P11" s="291" t="s">
        <v>256</v>
      </c>
      <c r="Q11" s="291" t="s">
        <v>1694</v>
      </c>
      <c r="R11" s="291" t="s">
        <v>1695</v>
      </c>
      <c r="S11" s="291" t="s">
        <v>1696</v>
      </c>
      <c r="T11" s="292" t="s">
        <v>1674</v>
      </c>
      <c r="U11" s="292" t="s">
        <v>1686</v>
      </c>
      <c r="V11" s="292" t="s">
        <v>256</v>
      </c>
      <c r="W11" s="292" t="s">
        <v>1686</v>
      </c>
      <c r="X11" s="292" t="s">
        <v>1687</v>
      </c>
      <c r="Y11" s="292" t="s">
        <v>1688</v>
      </c>
      <c r="Z11" s="293" t="s">
        <v>1697</v>
      </c>
      <c r="AA11" s="293" t="s">
        <v>1698</v>
      </c>
      <c r="AB11" s="293" t="s">
        <v>1699</v>
      </c>
      <c r="AC11" s="294">
        <v>5.5800000000000002E-2</v>
      </c>
      <c r="AD11" s="5"/>
      <c r="AF11" s="7" t="e">
        <f>IF(C11="","",VLOOKUP(C11,[3]listaBolsa!$D$2:$BB$276,51,0))</f>
        <v>#N/A</v>
      </c>
      <c r="BG11" s="7">
        <v>3</v>
      </c>
      <c r="CA11" s="7" t="e">
        <f>VLOOKUP(C11,[3]listaBolsa!$D$2:$BA$1248,1,0)</f>
        <v>#N/A</v>
      </c>
      <c r="CB11" s="7" t="e">
        <f>VLOOKUP(C11,[3]listaBolsa!$D$2:$BA$1248,2,0)</f>
        <v>#N/A</v>
      </c>
      <c r="CC11" s="7" t="e">
        <f>VLOOKUP(C11,[3]listaBolsa!$D$2:$BA$1248,10,0)</f>
        <v>#N/A</v>
      </c>
      <c r="CD11" s="7" t="e">
        <f>VLOOKUP(C11,[3]listaBolsa!$D$2:$BA$1248,14,0)</f>
        <v>#N/A</v>
      </c>
      <c r="CE11" s="7" t="e">
        <f>VLOOKUP(C11,[3]listaBolsa!$D$2:$BA$1248,23,0)</f>
        <v>#N/A</v>
      </c>
      <c r="CF11" s="7" t="e">
        <f>VLOOKUP(C11,[3]listaBolsa!$D$2:$BA$1248,29,0)</f>
        <v>#N/A</v>
      </c>
      <c r="CG11" s="7" t="e">
        <f>VLOOKUP(C11,[3]listaBolsa!$D$2:$BA$1248,36,0)</f>
        <v>#N/A</v>
      </c>
      <c r="CH11" s="7" t="e">
        <f>VLOOKUP(C11,[3]listaBolsa!$D$2:$BA$1248,40,0)</f>
        <v>#N/A</v>
      </c>
      <c r="CI11" s="7" t="e">
        <f>VLOOKUP(C11,[3]listaBolsa!$D$2:$BA$1248,48,0)</f>
        <v>#N/A</v>
      </c>
      <c r="CJ11" s="7" t="e">
        <f t="shared" si="1"/>
        <v>#N/A</v>
      </c>
      <c r="CK11" s="7" t="e">
        <f t="shared" si="1"/>
        <v>#N/A</v>
      </c>
      <c r="CL11" s="7" t="e">
        <f t="shared" si="2"/>
        <v>#N/A</v>
      </c>
      <c r="CM11" s="7" t="e">
        <f t="shared" si="2"/>
        <v>#N/A</v>
      </c>
      <c r="CN11" s="7" t="e">
        <f t="shared" si="3"/>
        <v>#N/A</v>
      </c>
      <c r="CO11" s="7" t="e">
        <f t="shared" si="3"/>
        <v>#N/A</v>
      </c>
      <c r="CP11" s="7" t="e">
        <f t="shared" si="4"/>
        <v>#N/A</v>
      </c>
      <c r="CQ11" s="7" t="e">
        <f t="shared" si="4"/>
        <v>#N/A</v>
      </c>
      <c r="CR11" s="7" t="e">
        <f t="shared" si="5"/>
        <v>#N/A</v>
      </c>
    </row>
    <row r="12" spans="1:96" s="7" customFormat="1" ht="117">
      <c r="A12" s="75">
        <f t="shared" si="0"/>
        <v>4</v>
      </c>
      <c r="B12" s="210" t="s">
        <v>1491</v>
      </c>
      <c r="C12" s="218" t="s">
        <v>1700</v>
      </c>
      <c r="D12" s="219" t="s">
        <v>1665</v>
      </c>
      <c r="E12" s="211" t="s">
        <v>185</v>
      </c>
      <c r="F12" s="207">
        <v>1</v>
      </c>
      <c r="G12" s="205" t="s">
        <v>186</v>
      </c>
      <c r="H12" s="289" t="s">
        <v>1666</v>
      </c>
      <c r="I12" s="290" t="s">
        <v>1701</v>
      </c>
      <c r="J12" s="290" t="s">
        <v>256</v>
      </c>
      <c r="K12" s="290" t="s">
        <v>1702</v>
      </c>
      <c r="L12" s="290" t="s">
        <v>1703</v>
      </c>
      <c r="M12" s="290" t="s">
        <v>1702</v>
      </c>
      <c r="N12" s="291" t="s">
        <v>1670</v>
      </c>
      <c r="O12" s="291" t="s">
        <v>1704</v>
      </c>
      <c r="P12" s="291" t="s">
        <v>256</v>
      </c>
      <c r="Q12" s="291" t="s">
        <v>1704</v>
      </c>
      <c r="R12" s="291" t="s">
        <v>1705</v>
      </c>
      <c r="S12" s="291" t="s">
        <v>1706</v>
      </c>
      <c r="T12" s="292" t="s">
        <v>1163</v>
      </c>
      <c r="U12" s="292" t="s">
        <v>1707</v>
      </c>
      <c r="V12" s="292" t="s">
        <v>1708</v>
      </c>
      <c r="W12" s="292" t="s">
        <v>1709</v>
      </c>
      <c r="X12" s="292" t="s">
        <v>1710</v>
      </c>
      <c r="Y12" s="292" t="s">
        <v>1711</v>
      </c>
      <c r="Z12" s="293" t="s">
        <v>1712</v>
      </c>
      <c r="AA12" s="293" t="s">
        <v>1713</v>
      </c>
      <c r="AB12" s="293" t="s">
        <v>1714</v>
      </c>
      <c r="AC12" s="294">
        <v>0.12429999999999999</v>
      </c>
      <c r="AD12" s="5"/>
      <c r="AF12" s="7" t="e">
        <f>IF(C12="","",VLOOKUP(C12,[3]listaBolsa!$D$2:$BB$276,51,0))</f>
        <v>#N/A</v>
      </c>
      <c r="BG12" s="7">
        <v>4</v>
      </c>
      <c r="CA12" s="7" t="e">
        <f>VLOOKUP(C12,[3]listaBolsa!$D$2:$BA$1248,1,0)</f>
        <v>#N/A</v>
      </c>
      <c r="CB12" s="7" t="e">
        <f>VLOOKUP(C12,[3]listaBolsa!$D$2:$BA$1248,2,0)</f>
        <v>#N/A</v>
      </c>
      <c r="CC12" s="7" t="e">
        <f>VLOOKUP(C12,[3]listaBolsa!$D$2:$BA$1248,10,0)</f>
        <v>#N/A</v>
      </c>
      <c r="CD12" s="7" t="e">
        <f>VLOOKUP(C12,[3]listaBolsa!$D$2:$BA$1248,14,0)</f>
        <v>#N/A</v>
      </c>
      <c r="CE12" s="7" t="e">
        <f>VLOOKUP(C12,[3]listaBolsa!$D$2:$BA$1248,23,0)</f>
        <v>#N/A</v>
      </c>
      <c r="CF12" s="7" t="e">
        <f>VLOOKUP(C12,[3]listaBolsa!$D$2:$BA$1248,29,0)</f>
        <v>#N/A</v>
      </c>
      <c r="CG12" s="7" t="e">
        <f>VLOOKUP(C12,[3]listaBolsa!$D$2:$BA$1248,36,0)</f>
        <v>#N/A</v>
      </c>
      <c r="CH12" s="7" t="e">
        <f>VLOOKUP(C12,[3]listaBolsa!$D$2:$BA$1248,40,0)</f>
        <v>#N/A</v>
      </c>
      <c r="CI12" s="7" t="e">
        <f>VLOOKUP(C12,[3]listaBolsa!$D$2:$BA$1248,48,0)</f>
        <v>#N/A</v>
      </c>
      <c r="CJ12" s="7" t="e">
        <f t="shared" si="1"/>
        <v>#N/A</v>
      </c>
      <c r="CK12" s="7" t="e">
        <f t="shared" si="1"/>
        <v>#N/A</v>
      </c>
      <c r="CL12" s="7" t="e">
        <f t="shared" si="2"/>
        <v>#N/A</v>
      </c>
      <c r="CM12" s="7" t="e">
        <f t="shared" si="2"/>
        <v>#N/A</v>
      </c>
      <c r="CN12" s="7" t="e">
        <f t="shared" si="3"/>
        <v>#N/A</v>
      </c>
      <c r="CO12" s="7" t="e">
        <f t="shared" si="3"/>
        <v>#N/A</v>
      </c>
      <c r="CP12" s="7" t="e">
        <f t="shared" si="4"/>
        <v>#N/A</v>
      </c>
      <c r="CQ12" s="7" t="e">
        <f t="shared" si="4"/>
        <v>#N/A</v>
      </c>
      <c r="CR12" s="7" t="e">
        <f t="shared" si="5"/>
        <v>#N/A</v>
      </c>
    </row>
    <row r="13" spans="1:96" s="7" customFormat="1" ht="117">
      <c r="A13" s="75">
        <f t="shared" si="0"/>
        <v>5</v>
      </c>
      <c r="B13" s="210" t="s">
        <v>1491</v>
      </c>
      <c r="C13" s="218" t="s">
        <v>1715</v>
      </c>
      <c r="D13" s="219" t="s">
        <v>1716</v>
      </c>
      <c r="E13" s="211" t="s">
        <v>185</v>
      </c>
      <c r="F13" s="207">
        <v>1</v>
      </c>
      <c r="G13" s="205" t="s">
        <v>186</v>
      </c>
      <c r="H13" s="283" t="s">
        <v>1666</v>
      </c>
      <c r="I13" s="284" t="s">
        <v>1717</v>
      </c>
      <c r="J13" s="284" t="s">
        <v>256</v>
      </c>
      <c r="K13" s="284" t="s">
        <v>1718</v>
      </c>
      <c r="L13" s="284" t="s">
        <v>1719</v>
      </c>
      <c r="M13" s="284" t="s">
        <v>1718</v>
      </c>
      <c r="N13" s="285" t="s">
        <v>1670</v>
      </c>
      <c r="O13" s="285" t="s">
        <v>1694</v>
      </c>
      <c r="P13" s="285" t="s">
        <v>256</v>
      </c>
      <c r="Q13" s="285" t="s">
        <v>1694</v>
      </c>
      <c r="R13" s="285" t="s">
        <v>1695</v>
      </c>
      <c r="S13" s="285" t="s">
        <v>1696</v>
      </c>
      <c r="T13" s="286" t="s">
        <v>1674</v>
      </c>
      <c r="U13" s="286" t="s">
        <v>1686</v>
      </c>
      <c r="V13" s="286" t="s">
        <v>256</v>
      </c>
      <c r="W13" s="286" t="s">
        <v>1686</v>
      </c>
      <c r="X13" s="286" t="s">
        <v>1687</v>
      </c>
      <c r="Y13" s="286" t="s">
        <v>1688</v>
      </c>
      <c r="Z13" s="287" t="s">
        <v>1720</v>
      </c>
      <c r="AA13" s="287" t="s">
        <v>1721</v>
      </c>
      <c r="AB13" s="287" t="s">
        <v>1680</v>
      </c>
      <c r="AC13" s="288">
        <v>4.1700000000000001E-2</v>
      </c>
      <c r="AD13" s="5"/>
      <c r="AF13" s="7" t="e">
        <f>IF(C13="","",VLOOKUP(C13,[3]listaBolsa!$D$2:$BB$276,51,0))</f>
        <v>#N/A</v>
      </c>
      <c r="BG13" s="7">
        <v>5</v>
      </c>
      <c r="CA13" s="7" t="e">
        <f>VLOOKUP(C13,[3]listaBolsa!$D$2:$BA$1248,1,0)</f>
        <v>#N/A</v>
      </c>
      <c r="CB13" s="7" t="e">
        <f>VLOOKUP(C13,[3]listaBolsa!$D$2:$BA$1248,2,0)</f>
        <v>#N/A</v>
      </c>
      <c r="CC13" s="7" t="e">
        <f>VLOOKUP(C13,[3]listaBolsa!$D$2:$BA$1248,10,0)</f>
        <v>#N/A</v>
      </c>
      <c r="CD13" s="7" t="e">
        <f>VLOOKUP(C13,[3]listaBolsa!$D$2:$BA$1248,14,0)</f>
        <v>#N/A</v>
      </c>
      <c r="CE13" s="7" t="e">
        <f>VLOOKUP(C13,[3]listaBolsa!$D$2:$BA$1248,23,0)</f>
        <v>#N/A</v>
      </c>
      <c r="CF13" s="7" t="e">
        <f>VLOOKUP(C13,[3]listaBolsa!$D$2:$BA$1248,29,0)</f>
        <v>#N/A</v>
      </c>
      <c r="CG13" s="7" t="e">
        <f>VLOOKUP(C13,[3]listaBolsa!$D$2:$BA$1248,36,0)</f>
        <v>#N/A</v>
      </c>
      <c r="CH13" s="7" t="e">
        <f>VLOOKUP(C13,[3]listaBolsa!$D$2:$BA$1248,40,0)</f>
        <v>#N/A</v>
      </c>
      <c r="CI13" s="7" t="e">
        <f>VLOOKUP(C13,[3]listaBolsa!$D$2:$BA$1248,48,0)</f>
        <v>#N/A</v>
      </c>
      <c r="CJ13" s="7" t="e">
        <f t="shared" si="1"/>
        <v>#N/A</v>
      </c>
      <c r="CK13" s="7" t="e">
        <f t="shared" si="1"/>
        <v>#N/A</v>
      </c>
      <c r="CL13" s="7" t="e">
        <f t="shared" si="2"/>
        <v>#N/A</v>
      </c>
      <c r="CM13" s="7" t="e">
        <f t="shared" si="2"/>
        <v>#N/A</v>
      </c>
      <c r="CN13" s="7" t="e">
        <f t="shared" si="3"/>
        <v>#N/A</v>
      </c>
      <c r="CO13" s="7" t="e">
        <f t="shared" si="3"/>
        <v>#N/A</v>
      </c>
      <c r="CP13" s="7" t="e">
        <f t="shared" si="4"/>
        <v>#N/A</v>
      </c>
      <c r="CQ13" s="7" t="e">
        <f t="shared" si="4"/>
        <v>#N/A</v>
      </c>
      <c r="CR13" s="7" t="e">
        <f t="shared" si="5"/>
        <v>#N/A</v>
      </c>
    </row>
    <row r="14" spans="1:96" s="7" customFormat="1" ht="117">
      <c r="A14" s="75">
        <f t="shared" si="0"/>
        <v>6</v>
      </c>
      <c r="B14" s="210" t="s">
        <v>1491</v>
      </c>
      <c r="C14" s="218" t="s">
        <v>1722</v>
      </c>
      <c r="D14" s="219" t="s">
        <v>1723</v>
      </c>
      <c r="E14" s="211" t="s">
        <v>185</v>
      </c>
      <c r="F14" s="207">
        <v>1</v>
      </c>
      <c r="G14" s="205" t="s">
        <v>186</v>
      </c>
      <c r="H14" s="289" t="s">
        <v>1666</v>
      </c>
      <c r="I14" s="290" t="s">
        <v>1683</v>
      </c>
      <c r="J14" s="290" t="s">
        <v>256</v>
      </c>
      <c r="K14" s="290" t="s">
        <v>1684</v>
      </c>
      <c r="L14" s="290" t="s">
        <v>1685</v>
      </c>
      <c r="M14" s="290" t="s">
        <v>1684</v>
      </c>
      <c r="N14" s="291" t="s">
        <v>1670</v>
      </c>
      <c r="O14" s="291" t="s">
        <v>1671</v>
      </c>
      <c r="P14" s="291" t="s">
        <v>256</v>
      </c>
      <c r="Q14" s="291" t="s">
        <v>1671</v>
      </c>
      <c r="R14" s="291" t="s">
        <v>1672</v>
      </c>
      <c r="S14" s="291" t="s">
        <v>1673</v>
      </c>
      <c r="T14" s="292" t="s">
        <v>1674</v>
      </c>
      <c r="U14" s="292" t="s">
        <v>1675</v>
      </c>
      <c r="V14" s="292" t="s">
        <v>256</v>
      </c>
      <c r="W14" s="292" t="s">
        <v>1675</v>
      </c>
      <c r="X14" s="292" t="s">
        <v>1676</v>
      </c>
      <c r="Y14" s="292" t="s">
        <v>1677</v>
      </c>
      <c r="Z14" s="293" t="s">
        <v>1724</v>
      </c>
      <c r="AA14" s="293" t="s">
        <v>1725</v>
      </c>
      <c r="AB14" s="293" t="s">
        <v>1726</v>
      </c>
      <c r="AC14" s="294">
        <v>2.4400000000000002E-2</v>
      </c>
      <c r="AD14" s="5"/>
      <c r="AF14" s="7" t="e">
        <f>IF(C14="","",VLOOKUP(C14,[3]listaBolsa!$D$2:$BB$276,51,0))</f>
        <v>#N/A</v>
      </c>
      <c r="BG14" s="7">
        <v>6</v>
      </c>
      <c r="CA14" s="7" t="e">
        <f>VLOOKUP(C14,[3]listaBolsa!$D$2:$BA$1248,1,0)</f>
        <v>#N/A</v>
      </c>
      <c r="CB14" s="7" t="e">
        <f>VLOOKUP(C14,[3]listaBolsa!$D$2:$BA$1248,2,0)</f>
        <v>#N/A</v>
      </c>
      <c r="CC14" s="7" t="e">
        <f>VLOOKUP(C14,[3]listaBolsa!$D$2:$BA$1248,10,0)</f>
        <v>#N/A</v>
      </c>
      <c r="CD14" s="7" t="e">
        <f>VLOOKUP(C14,[3]listaBolsa!$D$2:$BA$1248,14,0)</f>
        <v>#N/A</v>
      </c>
      <c r="CE14" s="7" t="e">
        <f>VLOOKUP(C14,[3]listaBolsa!$D$2:$BA$1248,23,0)</f>
        <v>#N/A</v>
      </c>
      <c r="CF14" s="7" t="e">
        <f>VLOOKUP(C14,[3]listaBolsa!$D$2:$BA$1248,29,0)</f>
        <v>#N/A</v>
      </c>
      <c r="CG14" s="7" t="e">
        <f>VLOOKUP(C14,[3]listaBolsa!$D$2:$BA$1248,36,0)</f>
        <v>#N/A</v>
      </c>
      <c r="CH14" s="7" t="e">
        <f>VLOOKUP(C14,[3]listaBolsa!$D$2:$BA$1248,40,0)</f>
        <v>#N/A</v>
      </c>
      <c r="CI14" s="7" t="e">
        <f>VLOOKUP(C14,[3]listaBolsa!$D$2:$BA$1248,48,0)</f>
        <v>#N/A</v>
      </c>
      <c r="CJ14" s="7" t="e">
        <f t="shared" si="1"/>
        <v>#N/A</v>
      </c>
      <c r="CK14" s="7" t="e">
        <f t="shared" si="1"/>
        <v>#N/A</v>
      </c>
      <c r="CL14" s="7" t="e">
        <f t="shared" si="2"/>
        <v>#N/A</v>
      </c>
      <c r="CM14" s="7" t="e">
        <f t="shared" si="2"/>
        <v>#N/A</v>
      </c>
      <c r="CN14" s="7" t="e">
        <f t="shared" si="3"/>
        <v>#N/A</v>
      </c>
      <c r="CO14" s="7" t="e">
        <f t="shared" si="3"/>
        <v>#N/A</v>
      </c>
      <c r="CP14" s="7" t="e">
        <f t="shared" si="4"/>
        <v>#N/A</v>
      </c>
      <c r="CQ14" s="7" t="e">
        <f t="shared" si="4"/>
        <v>#N/A</v>
      </c>
      <c r="CR14" s="7" t="e">
        <f t="shared" si="5"/>
        <v>#N/A</v>
      </c>
    </row>
    <row r="15" spans="1:96" s="7" customFormat="1" ht="117">
      <c r="A15" s="75">
        <f t="shared" si="0"/>
        <v>7</v>
      </c>
      <c r="B15" s="210" t="s">
        <v>1491</v>
      </c>
      <c r="C15" s="218" t="s">
        <v>1727</v>
      </c>
      <c r="D15" s="219" t="s">
        <v>1728</v>
      </c>
      <c r="E15" s="211" t="s">
        <v>185</v>
      </c>
      <c r="F15" s="207">
        <v>1</v>
      </c>
      <c r="G15" s="205" t="s">
        <v>186</v>
      </c>
      <c r="H15" s="289" t="s">
        <v>1666</v>
      </c>
      <c r="I15" s="290" t="s">
        <v>1729</v>
      </c>
      <c r="J15" s="290" t="s">
        <v>256</v>
      </c>
      <c r="K15" s="290" t="s">
        <v>1730</v>
      </c>
      <c r="L15" s="290" t="s">
        <v>1731</v>
      </c>
      <c r="M15" s="290" t="s">
        <v>1730</v>
      </c>
      <c r="N15" s="291" t="s">
        <v>1670</v>
      </c>
      <c r="O15" s="291" t="s">
        <v>1732</v>
      </c>
      <c r="P15" s="291" t="s">
        <v>256</v>
      </c>
      <c r="Q15" s="291" t="s">
        <v>1732</v>
      </c>
      <c r="R15" s="291" t="s">
        <v>1733</v>
      </c>
      <c r="S15" s="291" t="s">
        <v>1734</v>
      </c>
      <c r="T15" s="292" t="s">
        <v>1735</v>
      </c>
      <c r="U15" s="292" t="s">
        <v>1736</v>
      </c>
      <c r="V15" s="292" t="s">
        <v>1737</v>
      </c>
      <c r="W15" s="292" t="s">
        <v>1738</v>
      </c>
      <c r="X15" s="292" t="s">
        <v>1739</v>
      </c>
      <c r="Y15" s="292" t="s">
        <v>1740</v>
      </c>
      <c r="Z15" s="293" t="s">
        <v>1741</v>
      </c>
      <c r="AA15" s="293" t="s">
        <v>1742</v>
      </c>
      <c r="AB15" s="293" t="s">
        <v>1743</v>
      </c>
      <c r="AC15" s="294">
        <v>0.18920000000000001</v>
      </c>
      <c r="AD15" s="5"/>
      <c r="AF15" s="7" t="e">
        <f>IF(C15="","",VLOOKUP(C15,[3]listaBolsa!$D$2:$BB$276,51,0))</f>
        <v>#N/A</v>
      </c>
      <c r="BG15" s="7">
        <v>7</v>
      </c>
      <c r="CA15" s="7" t="e">
        <f>VLOOKUP(C15,[3]listaBolsa!$D$2:$BA$1248,1,0)</f>
        <v>#N/A</v>
      </c>
      <c r="CB15" s="7" t="e">
        <f>VLOOKUP(C15,[3]listaBolsa!$D$2:$BA$1248,2,0)</f>
        <v>#N/A</v>
      </c>
      <c r="CC15" s="7" t="e">
        <f>VLOOKUP(C15,[3]listaBolsa!$D$2:$BA$1248,10,0)</f>
        <v>#N/A</v>
      </c>
      <c r="CD15" s="7" t="e">
        <f>VLOOKUP(C15,[3]listaBolsa!$D$2:$BA$1248,14,0)</f>
        <v>#N/A</v>
      </c>
      <c r="CE15" s="7" t="e">
        <f>VLOOKUP(C15,[3]listaBolsa!$D$2:$BA$1248,23,0)</f>
        <v>#N/A</v>
      </c>
      <c r="CF15" s="7" t="e">
        <f>VLOOKUP(C15,[3]listaBolsa!$D$2:$BA$1248,29,0)</f>
        <v>#N/A</v>
      </c>
      <c r="CG15" s="7" t="e">
        <f>VLOOKUP(C15,[3]listaBolsa!$D$2:$BA$1248,36,0)</f>
        <v>#N/A</v>
      </c>
      <c r="CH15" s="7" t="e">
        <f>VLOOKUP(C15,[3]listaBolsa!$D$2:$BA$1248,40,0)</f>
        <v>#N/A</v>
      </c>
      <c r="CI15" s="7" t="e">
        <f>VLOOKUP(C15,[3]listaBolsa!$D$2:$BA$1248,48,0)</f>
        <v>#N/A</v>
      </c>
      <c r="CJ15" s="7" t="e">
        <f t="shared" si="1"/>
        <v>#N/A</v>
      </c>
      <c r="CK15" s="7" t="e">
        <f t="shared" si="1"/>
        <v>#N/A</v>
      </c>
      <c r="CL15" s="7" t="e">
        <f t="shared" si="2"/>
        <v>#N/A</v>
      </c>
      <c r="CM15" s="7" t="e">
        <f t="shared" si="2"/>
        <v>#N/A</v>
      </c>
      <c r="CN15" s="7" t="e">
        <f t="shared" si="3"/>
        <v>#N/A</v>
      </c>
      <c r="CO15" s="7" t="e">
        <f t="shared" si="3"/>
        <v>#N/A</v>
      </c>
      <c r="CP15" s="7" t="e">
        <f t="shared" si="4"/>
        <v>#N/A</v>
      </c>
      <c r="CQ15" s="7" t="e">
        <f t="shared" si="4"/>
        <v>#N/A</v>
      </c>
      <c r="CR15" s="7" t="e">
        <f t="shared" si="5"/>
        <v>#N/A</v>
      </c>
    </row>
    <row r="16" spans="1:96" s="7" customFormat="1" ht="117">
      <c r="A16" s="75">
        <f t="shared" si="0"/>
        <v>8</v>
      </c>
      <c r="B16" s="210" t="s">
        <v>1491</v>
      </c>
      <c r="C16" s="218" t="s">
        <v>1744</v>
      </c>
      <c r="D16" s="219" t="s">
        <v>1745</v>
      </c>
      <c r="E16" s="211" t="s">
        <v>185</v>
      </c>
      <c r="F16" s="207">
        <v>1</v>
      </c>
      <c r="G16" s="205" t="s">
        <v>186</v>
      </c>
      <c r="H16" s="289" t="s">
        <v>1746</v>
      </c>
      <c r="I16" s="290" t="s">
        <v>1747</v>
      </c>
      <c r="J16" s="290" t="s">
        <v>256</v>
      </c>
      <c r="K16" s="290" t="s">
        <v>1748</v>
      </c>
      <c r="L16" s="290" t="s">
        <v>1749</v>
      </c>
      <c r="M16" s="290" t="s">
        <v>1748</v>
      </c>
      <c r="N16" s="291" t="s">
        <v>1750</v>
      </c>
      <c r="O16" s="291" t="s">
        <v>1751</v>
      </c>
      <c r="P16" s="291" t="s">
        <v>1752</v>
      </c>
      <c r="Q16" s="291" t="s">
        <v>1753</v>
      </c>
      <c r="R16" s="291" t="s">
        <v>1754</v>
      </c>
      <c r="S16" s="291" t="s">
        <v>1755</v>
      </c>
      <c r="T16" s="292" t="s">
        <v>1756</v>
      </c>
      <c r="U16" s="292" t="s">
        <v>1757</v>
      </c>
      <c r="V16" s="292" t="s">
        <v>256</v>
      </c>
      <c r="W16" s="292" t="s">
        <v>1757</v>
      </c>
      <c r="X16" s="292" t="s">
        <v>1758</v>
      </c>
      <c r="Y16" s="292" t="s">
        <v>1759</v>
      </c>
      <c r="Z16" s="293" t="s">
        <v>1760</v>
      </c>
      <c r="AA16" s="293" t="s">
        <v>1761</v>
      </c>
      <c r="AB16" s="293" t="s">
        <v>1762</v>
      </c>
      <c r="AC16" s="294">
        <v>0.12520000000000001</v>
      </c>
      <c r="AD16" s="5"/>
      <c r="AF16" s="7" t="e">
        <f>IF(C16="","",VLOOKUP(C16,[3]listaBolsa!$D$2:$BB$276,51,0))</f>
        <v>#N/A</v>
      </c>
      <c r="BG16" s="7">
        <v>8</v>
      </c>
      <c r="CA16" s="7" t="e">
        <f>VLOOKUP(C16,[3]listaBolsa!$D$2:$BA$1248,1,0)</f>
        <v>#N/A</v>
      </c>
      <c r="CB16" s="7" t="e">
        <f>VLOOKUP(C16,[3]listaBolsa!$D$2:$BA$1248,2,0)</f>
        <v>#N/A</v>
      </c>
      <c r="CC16" s="7" t="e">
        <f>VLOOKUP(C16,[3]listaBolsa!$D$2:$BA$1248,10,0)</f>
        <v>#N/A</v>
      </c>
      <c r="CD16" s="7" t="e">
        <f>VLOOKUP(C16,[3]listaBolsa!$D$2:$BA$1248,14,0)</f>
        <v>#N/A</v>
      </c>
      <c r="CE16" s="7" t="e">
        <f>VLOOKUP(C16,[3]listaBolsa!$D$2:$BA$1248,23,0)</f>
        <v>#N/A</v>
      </c>
      <c r="CF16" s="7" t="e">
        <f>VLOOKUP(C16,[3]listaBolsa!$D$2:$BA$1248,29,0)</f>
        <v>#N/A</v>
      </c>
      <c r="CG16" s="7" t="e">
        <f>VLOOKUP(C16,[3]listaBolsa!$D$2:$BA$1248,36,0)</f>
        <v>#N/A</v>
      </c>
      <c r="CH16" s="7" t="e">
        <f>VLOOKUP(C16,[3]listaBolsa!$D$2:$BA$1248,40,0)</f>
        <v>#N/A</v>
      </c>
      <c r="CI16" s="7" t="e">
        <f>VLOOKUP(C16,[3]listaBolsa!$D$2:$BA$1248,48,0)</f>
        <v>#N/A</v>
      </c>
      <c r="CJ16" s="7" t="e">
        <f t="shared" si="1"/>
        <v>#N/A</v>
      </c>
      <c r="CK16" s="7" t="e">
        <f t="shared" si="1"/>
        <v>#N/A</v>
      </c>
      <c r="CL16" s="7" t="e">
        <f t="shared" si="2"/>
        <v>#N/A</v>
      </c>
      <c r="CM16" s="7" t="e">
        <f t="shared" si="2"/>
        <v>#N/A</v>
      </c>
      <c r="CN16" s="7" t="e">
        <f t="shared" si="3"/>
        <v>#N/A</v>
      </c>
      <c r="CO16" s="7" t="e">
        <f t="shared" si="3"/>
        <v>#N/A</v>
      </c>
      <c r="CP16" s="7" t="e">
        <f t="shared" si="4"/>
        <v>#N/A</v>
      </c>
      <c r="CQ16" s="7" t="e">
        <f t="shared" si="4"/>
        <v>#N/A</v>
      </c>
      <c r="CR16" s="7" t="e">
        <f t="shared" si="5"/>
        <v>#N/A</v>
      </c>
    </row>
    <row r="17" spans="1:96" s="7" customFormat="1" ht="117">
      <c r="A17" s="75">
        <f t="shared" si="0"/>
        <v>9</v>
      </c>
      <c r="B17" s="210" t="s">
        <v>1491</v>
      </c>
      <c r="C17" s="218" t="s">
        <v>1763</v>
      </c>
      <c r="D17" s="219" t="s">
        <v>1745</v>
      </c>
      <c r="E17" s="211" t="s">
        <v>185</v>
      </c>
      <c r="F17" s="207">
        <v>1</v>
      </c>
      <c r="G17" s="205" t="s">
        <v>186</v>
      </c>
      <c r="H17" s="289" t="s">
        <v>1666</v>
      </c>
      <c r="I17" s="290" t="s">
        <v>1764</v>
      </c>
      <c r="J17" s="290" t="s">
        <v>256</v>
      </c>
      <c r="K17" s="290" t="s">
        <v>1765</v>
      </c>
      <c r="L17" s="290" t="s">
        <v>1766</v>
      </c>
      <c r="M17" s="290" t="s">
        <v>1765</v>
      </c>
      <c r="N17" s="291" t="s">
        <v>1670</v>
      </c>
      <c r="O17" s="291" t="s">
        <v>1767</v>
      </c>
      <c r="P17" s="291" t="s">
        <v>1768</v>
      </c>
      <c r="Q17" s="291" t="s">
        <v>1769</v>
      </c>
      <c r="R17" s="291" t="s">
        <v>1770</v>
      </c>
      <c r="S17" s="291" t="s">
        <v>1771</v>
      </c>
      <c r="T17" s="292" t="s">
        <v>1674</v>
      </c>
      <c r="U17" s="292" t="s">
        <v>1772</v>
      </c>
      <c r="V17" s="292" t="s">
        <v>256</v>
      </c>
      <c r="W17" s="292" t="s">
        <v>1772</v>
      </c>
      <c r="X17" s="292" t="s">
        <v>1773</v>
      </c>
      <c r="Y17" s="292" t="s">
        <v>1774</v>
      </c>
      <c r="Z17" s="293" t="s">
        <v>1775</v>
      </c>
      <c r="AA17" s="293" t="s">
        <v>1776</v>
      </c>
      <c r="AB17" s="293" t="s">
        <v>1777</v>
      </c>
      <c r="AC17" s="294">
        <v>0.17119999999999999</v>
      </c>
      <c r="AD17" s="5"/>
      <c r="AF17" s="7" t="e">
        <f>IF(C17="","",VLOOKUP(C17,[3]listaBolsa!$D$2:$BB$276,51,0))</f>
        <v>#N/A</v>
      </c>
      <c r="BG17" s="7">
        <v>9</v>
      </c>
      <c r="CA17" s="7" t="e">
        <f>VLOOKUP(C17,[3]listaBolsa!$D$2:$BA$1248,1,0)</f>
        <v>#N/A</v>
      </c>
      <c r="CB17" s="7" t="e">
        <f>VLOOKUP(C17,[3]listaBolsa!$D$2:$BA$1248,2,0)</f>
        <v>#N/A</v>
      </c>
      <c r="CC17" s="7" t="e">
        <f>VLOOKUP(C17,[3]listaBolsa!$D$2:$BA$1248,10,0)</f>
        <v>#N/A</v>
      </c>
      <c r="CD17" s="7" t="e">
        <f>VLOOKUP(C17,[3]listaBolsa!$D$2:$BA$1248,14,0)</f>
        <v>#N/A</v>
      </c>
      <c r="CE17" s="7" t="e">
        <f>VLOOKUP(C17,[3]listaBolsa!$D$2:$BA$1248,23,0)</f>
        <v>#N/A</v>
      </c>
      <c r="CF17" s="7" t="e">
        <f>VLOOKUP(C17,[3]listaBolsa!$D$2:$BA$1248,29,0)</f>
        <v>#N/A</v>
      </c>
      <c r="CG17" s="7" t="e">
        <f>VLOOKUP(C17,[3]listaBolsa!$D$2:$BA$1248,36,0)</f>
        <v>#N/A</v>
      </c>
      <c r="CH17" s="7" t="e">
        <f>VLOOKUP(C17,[3]listaBolsa!$D$2:$BA$1248,40,0)</f>
        <v>#N/A</v>
      </c>
      <c r="CI17" s="7" t="e">
        <f>VLOOKUP(C17,[3]listaBolsa!$D$2:$BA$1248,48,0)</f>
        <v>#N/A</v>
      </c>
      <c r="CJ17" s="7" t="e">
        <f t="shared" si="1"/>
        <v>#N/A</v>
      </c>
      <c r="CK17" s="7" t="e">
        <f t="shared" si="1"/>
        <v>#N/A</v>
      </c>
      <c r="CL17" s="7" t="e">
        <f t="shared" si="2"/>
        <v>#N/A</v>
      </c>
      <c r="CM17" s="7" t="e">
        <f t="shared" si="2"/>
        <v>#N/A</v>
      </c>
      <c r="CN17" s="7" t="e">
        <f t="shared" si="3"/>
        <v>#N/A</v>
      </c>
      <c r="CO17" s="7" t="e">
        <f t="shared" si="3"/>
        <v>#N/A</v>
      </c>
      <c r="CP17" s="7" t="e">
        <f t="shared" si="4"/>
        <v>#N/A</v>
      </c>
      <c r="CQ17" s="7" t="e">
        <f t="shared" si="4"/>
        <v>#N/A</v>
      </c>
      <c r="CR17" s="7" t="e">
        <f t="shared" si="5"/>
        <v>#N/A</v>
      </c>
    </row>
    <row r="18" spans="1:96" s="7" customFormat="1" ht="117">
      <c r="A18" s="75">
        <f t="shared" si="0"/>
        <v>10</v>
      </c>
      <c r="B18" s="210" t="s">
        <v>1491</v>
      </c>
      <c r="C18" s="218" t="s">
        <v>1778</v>
      </c>
      <c r="D18" s="219" t="s">
        <v>1745</v>
      </c>
      <c r="E18" s="211" t="s">
        <v>185</v>
      </c>
      <c r="F18" s="207">
        <v>1</v>
      </c>
      <c r="G18" s="205" t="s">
        <v>186</v>
      </c>
      <c r="H18" s="289" t="s">
        <v>1666</v>
      </c>
      <c r="I18" s="290" t="s">
        <v>1764</v>
      </c>
      <c r="J18" s="290" t="s">
        <v>256</v>
      </c>
      <c r="K18" s="290" t="s">
        <v>1765</v>
      </c>
      <c r="L18" s="290" t="s">
        <v>1766</v>
      </c>
      <c r="M18" s="290" t="s">
        <v>1765</v>
      </c>
      <c r="N18" s="291" t="s">
        <v>1670</v>
      </c>
      <c r="O18" s="291" t="s">
        <v>1767</v>
      </c>
      <c r="P18" s="291" t="s">
        <v>1768</v>
      </c>
      <c r="Q18" s="291" t="s">
        <v>1769</v>
      </c>
      <c r="R18" s="291" t="s">
        <v>1770</v>
      </c>
      <c r="S18" s="291" t="s">
        <v>1771</v>
      </c>
      <c r="T18" s="292" t="s">
        <v>1779</v>
      </c>
      <c r="U18" s="292" t="s">
        <v>1780</v>
      </c>
      <c r="V18" s="292" t="s">
        <v>256</v>
      </c>
      <c r="W18" s="292" t="s">
        <v>1780</v>
      </c>
      <c r="X18" s="292" t="s">
        <v>1781</v>
      </c>
      <c r="Y18" s="292" t="s">
        <v>1782</v>
      </c>
      <c r="Z18" s="293" t="s">
        <v>1783</v>
      </c>
      <c r="AA18" s="293" t="s">
        <v>1784</v>
      </c>
      <c r="AB18" s="293" t="s">
        <v>1785</v>
      </c>
      <c r="AC18" s="294">
        <v>6.3500000000000001E-2</v>
      </c>
      <c r="AD18" s="5"/>
      <c r="AF18" s="7" t="e">
        <f>IF(C18="","",VLOOKUP(C18,[3]listaBolsa!$D$2:$BB$276,51,0))</f>
        <v>#N/A</v>
      </c>
      <c r="BG18" s="7">
        <v>10</v>
      </c>
      <c r="CA18" s="7" t="e">
        <f>VLOOKUP(C18,[3]listaBolsa!$D$2:$BA$1248,1,0)</f>
        <v>#N/A</v>
      </c>
      <c r="CB18" s="7" t="e">
        <f>VLOOKUP(C18,[3]listaBolsa!$D$2:$BA$1248,2,0)</f>
        <v>#N/A</v>
      </c>
      <c r="CC18" s="7" t="e">
        <f>VLOOKUP(C18,[3]listaBolsa!$D$2:$BA$1248,10,0)</f>
        <v>#N/A</v>
      </c>
      <c r="CD18" s="7" t="e">
        <f>VLOOKUP(C18,[3]listaBolsa!$D$2:$BA$1248,14,0)</f>
        <v>#N/A</v>
      </c>
      <c r="CE18" s="7" t="e">
        <f>VLOOKUP(C18,[3]listaBolsa!$D$2:$BA$1248,23,0)</f>
        <v>#N/A</v>
      </c>
      <c r="CF18" s="7" t="e">
        <f>VLOOKUP(C18,[3]listaBolsa!$D$2:$BA$1248,29,0)</f>
        <v>#N/A</v>
      </c>
      <c r="CG18" s="7" t="e">
        <f>VLOOKUP(C18,[3]listaBolsa!$D$2:$BA$1248,36,0)</f>
        <v>#N/A</v>
      </c>
      <c r="CH18" s="7" t="e">
        <f>VLOOKUP(C18,[3]listaBolsa!$D$2:$BA$1248,40,0)</f>
        <v>#N/A</v>
      </c>
      <c r="CI18" s="7" t="e">
        <f>VLOOKUP(C18,[3]listaBolsa!$D$2:$BA$1248,48,0)</f>
        <v>#N/A</v>
      </c>
      <c r="CJ18" s="7" t="e">
        <f t="shared" si="1"/>
        <v>#N/A</v>
      </c>
      <c r="CK18" s="7" t="e">
        <f t="shared" si="1"/>
        <v>#N/A</v>
      </c>
      <c r="CL18" s="7" t="e">
        <f t="shared" si="2"/>
        <v>#N/A</v>
      </c>
      <c r="CM18" s="7" t="e">
        <f t="shared" si="2"/>
        <v>#N/A</v>
      </c>
      <c r="CN18" s="7" t="e">
        <f t="shared" si="3"/>
        <v>#N/A</v>
      </c>
      <c r="CO18" s="7" t="e">
        <f t="shared" si="3"/>
        <v>#N/A</v>
      </c>
      <c r="CP18" s="7" t="e">
        <f t="shared" si="4"/>
        <v>#N/A</v>
      </c>
      <c r="CQ18" s="7" t="e">
        <f t="shared" si="4"/>
        <v>#N/A</v>
      </c>
      <c r="CR18" s="7" t="e">
        <f t="shared" si="5"/>
        <v>#N/A</v>
      </c>
    </row>
    <row r="19" spans="1:96" s="7" customFormat="1" ht="117">
      <c r="A19" s="75">
        <f t="shared" si="0"/>
        <v>11</v>
      </c>
      <c r="B19" s="210" t="s">
        <v>1491</v>
      </c>
      <c r="C19" s="218" t="s">
        <v>1786</v>
      </c>
      <c r="D19" s="219" t="s">
        <v>1745</v>
      </c>
      <c r="E19" s="211" t="s">
        <v>185</v>
      </c>
      <c r="F19" s="207">
        <v>1</v>
      </c>
      <c r="G19" s="205" t="s">
        <v>186</v>
      </c>
      <c r="H19" s="283" t="s">
        <v>1666</v>
      </c>
      <c r="I19" s="284" t="s">
        <v>1787</v>
      </c>
      <c r="J19" s="284" t="s">
        <v>256</v>
      </c>
      <c r="K19" s="284" t="s">
        <v>1788</v>
      </c>
      <c r="L19" s="284" t="s">
        <v>1789</v>
      </c>
      <c r="M19" s="284" t="s">
        <v>1788</v>
      </c>
      <c r="N19" s="285" t="s">
        <v>1670</v>
      </c>
      <c r="O19" s="285" t="s">
        <v>1790</v>
      </c>
      <c r="P19" s="285" t="s">
        <v>256</v>
      </c>
      <c r="Q19" s="285" t="s">
        <v>1790</v>
      </c>
      <c r="R19" s="285" t="s">
        <v>1791</v>
      </c>
      <c r="S19" s="285" t="s">
        <v>1792</v>
      </c>
      <c r="T19" s="286" t="s">
        <v>1674</v>
      </c>
      <c r="U19" s="286" t="s">
        <v>1793</v>
      </c>
      <c r="V19" s="286" t="s">
        <v>256</v>
      </c>
      <c r="W19" s="286" t="s">
        <v>1793</v>
      </c>
      <c r="X19" s="286" t="s">
        <v>1794</v>
      </c>
      <c r="Y19" s="286" t="s">
        <v>1795</v>
      </c>
      <c r="Z19" s="287" t="s">
        <v>1796</v>
      </c>
      <c r="AA19" s="287" t="s">
        <v>1797</v>
      </c>
      <c r="AB19" s="287" t="s">
        <v>1798</v>
      </c>
      <c r="AC19" s="288">
        <v>4.2000000000000003E-2</v>
      </c>
      <c r="AD19" s="5"/>
      <c r="AF19" s="7" t="e">
        <f>IF(C19="","",VLOOKUP(C19,[3]listaBolsa!$D$2:$BB$276,51,0))</f>
        <v>#N/A</v>
      </c>
      <c r="BG19" s="7">
        <v>11</v>
      </c>
      <c r="CA19" s="7" t="e">
        <f>VLOOKUP(C19,[3]listaBolsa!$D$2:$BA$1248,1,0)</f>
        <v>#N/A</v>
      </c>
      <c r="CB19" s="7" t="e">
        <f>VLOOKUP(C19,[3]listaBolsa!$D$2:$BA$1248,2,0)</f>
        <v>#N/A</v>
      </c>
      <c r="CC19" s="7" t="e">
        <f>VLOOKUP(C19,[3]listaBolsa!$D$2:$BA$1248,10,0)</f>
        <v>#N/A</v>
      </c>
      <c r="CD19" s="7" t="e">
        <f>VLOOKUP(C19,[3]listaBolsa!$D$2:$BA$1248,14,0)</f>
        <v>#N/A</v>
      </c>
      <c r="CE19" s="7" t="e">
        <f>VLOOKUP(C19,[3]listaBolsa!$D$2:$BA$1248,23,0)</f>
        <v>#N/A</v>
      </c>
      <c r="CF19" s="7" t="e">
        <f>VLOOKUP(C19,[3]listaBolsa!$D$2:$BA$1248,29,0)</f>
        <v>#N/A</v>
      </c>
      <c r="CG19" s="7" t="e">
        <f>VLOOKUP(C19,[3]listaBolsa!$D$2:$BA$1248,36,0)</f>
        <v>#N/A</v>
      </c>
      <c r="CH19" s="7" t="e">
        <f>VLOOKUP(C19,[3]listaBolsa!$D$2:$BA$1248,40,0)</f>
        <v>#N/A</v>
      </c>
      <c r="CI19" s="7" t="e">
        <f>VLOOKUP(C19,[3]listaBolsa!$D$2:$BA$1248,48,0)</f>
        <v>#N/A</v>
      </c>
      <c r="CJ19" s="7" t="e">
        <f t="shared" si="1"/>
        <v>#N/A</v>
      </c>
      <c r="CK19" s="7" t="e">
        <f t="shared" si="1"/>
        <v>#N/A</v>
      </c>
      <c r="CL19" s="7" t="e">
        <f t="shared" si="2"/>
        <v>#N/A</v>
      </c>
      <c r="CM19" s="7" t="e">
        <f t="shared" si="2"/>
        <v>#N/A</v>
      </c>
      <c r="CN19" s="7" t="e">
        <f t="shared" si="3"/>
        <v>#N/A</v>
      </c>
      <c r="CO19" s="7" t="e">
        <f t="shared" si="3"/>
        <v>#N/A</v>
      </c>
      <c r="CP19" s="7" t="e">
        <f t="shared" si="4"/>
        <v>#N/A</v>
      </c>
      <c r="CQ19" s="7" t="e">
        <f t="shared" si="4"/>
        <v>#N/A</v>
      </c>
      <c r="CR19" s="7" t="e">
        <f t="shared" si="5"/>
        <v>#N/A</v>
      </c>
    </row>
    <row r="20" spans="1:96" s="7" customFormat="1" ht="117">
      <c r="A20" s="75">
        <f t="shared" si="0"/>
        <v>12</v>
      </c>
      <c r="B20" s="210" t="s">
        <v>1491</v>
      </c>
      <c r="C20" s="218" t="s">
        <v>1799</v>
      </c>
      <c r="D20" s="219" t="s">
        <v>1745</v>
      </c>
      <c r="E20" s="211" t="s">
        <v>185</v>
      </c>
      <c r="F20" s="207">
        <v>1</v>
      </c>
      <c r="G20" s="205" t="s">
        <v>186</v>
      </c>
      <c r="H20" s="289" t="s">
        <v>1666</v>
      </c>
      <c r="I20" s="290" t="s">
        <v>1800</v>
      </c>
      <c r="J20" s="290" t="s">
        <v>256</v>
      </c>
      <c r="K20" s="290" t="s">
        <v>1801</v>
      </c>
      <c r="L20" s="290" t="s">
        <v>1802</v>
      </c>
      <c r="M20" s="290" t="s">
        <v>1801</v>
      </c>
      <c r="N20" s="291" t="s">
        <v>1670</v>
      </c>
      <c r="O20" s="291" t="s">
        <v>1803</v>
      </c>
      <c r="P20" s="291" t="s">
        <v>256</v>
      </c>
      <c r="Q20" s="291" t="s">
        <v>1803</v>
      </c>
      <c r="R20" s="291" t="s">
        <v>1804</v>
      </c>
      <c r="S20" s="291" t="s">
        <v>1805</v>
      </c>
      <c r="T20" s="292" t="s">
        <v>1674</v>
      </c>
      <c r="U20" s="292" t="s">
        <v>1793</v>
      </c>
      <c r="V20" s="292" t="s">
        <v>256</v>
      </c>
      <c r="W20" s="292" t="s">
        <v>1793</v>
      </c>
      <c r="X20" s="292" t="s">
        <v>1794</v>
      </c>
      <c r="Y20" s="292" t="s">
        <v>1795</v>
      </c>
      <c r="Z20" s="293" t="s">
        <v>1806</v>
      </c>
      <c r="AA20" s="293" t="s">
        <v>1807</v>
      </c>
      <c r="AB20" s="293" t="s">
        <v>1808</v>
      </c>
      <c r="AC20" s="294">
        <v>9.2499999999999999E-2</v>
      </c>
      <c r="AD20" s="5"/>
      <c r="AF20" s="7" t="e">
        <f>IF(C20="","",VLOOKUP(C20,[3]listaBolsa!$D$2:$BB$276,51,0))</f>
        <v>#N/A</v>
      </c>
      <c r="BG20" s="7">
        <v>12</v>
      </c>
      <c r="CA20" s="7" t="e">
        <f>VLOOKUP(C20,[3]listaBolsa!$D$2:$BA$1248,1,0)</f>
        <v>#N/A</v>
      </c>
      <c r="CB20" s="7" t="e">
        <f>VLOOKUP(C20,[3]listaBolsa!$D$2:$BA$1248,2,0)</f>
        <v>#N/A</v>
      </c>
      <c r="CC20" s="7" t="e">
        <f>VLOOKUP(C20,[3]listaBolsa!$D$2:$BA$1248,10,0)</f>
        <v>#N/A</v>
      </c>
      <c r="CD20" s="7" t="e">
        <f>VLOOKUP(C20,[3]listaBolsa!$D$2:$BA$1248,14,0)</f>
        <v>#N/A</v>
      </c>
      <c r="CE20" s="7" t="e">
        <f>VLOOKUP(C20,[3]listaBolsa!$D$2:$BA$1248,23,0)</f>
        <v>#N/A</v>
      </c>
      <c r="CF20" s="7" t="e">
        <f>VLOOKUP(C20,[3]listaBolsa!$D$2:$BA$1248,29,0)</f>
        <v>#N/A</v>
      </c>
      <c r="CG20" s="7" t="e">
        <f>VLOOKUP(C20,[3]listaBolsa!$D$2:$BA$1248,36,0)</f>
        <v>#N/A</v>
      </c>
      <c r="CH20" s="7" t="e">
        <f>VLOOKUP(C20,[3]listaBolsa!$D$2:$BA$1248,40,0)</f>
        <v>#N/A</v>
      </c>
      <c r="CI20" s="7" t="e">
        <f>VLOOKUP(C20,[3]listaBolsa!$D$2:$BA$1248,48,0)</f>
        <v>#N/A</v>
      </c>
      <c r="CJ20" s="7" t="e">
        <f t="shared" si="1"/>
        <v>#N/A</v>
      </c>
      <c r="CK20" s="7" t="e">
        <f t="shared" si="1"/>
        <v>#N/A</v>
      </c>
      <c r="CL20" s="7" t="e">
        <f t="shared" si="2"/>
        <v>#N/A</v>
      </c>
      <c r="CM20" s="7" t="e">
        <f t="shared" si="2"/>
        <v>#N/A</v>
      </c>
      <c r="CN20" s="7" t="e">
        <f t="shared" si="3"/>
        <v>#N/A</v>
      </c>
      <c r="CO20" s="7" t="e">
        <f t="shared" si="3"/>
        <v>#N/A</v>
      </c>
      <c r="CP20" s="7" t="e">
        <f t="shared" si="4"/>
        <v>#N/A</v>
      </c>
      <c r="CQ20" s="7" t="e">
        <f t="shared" si="4"/>
        <v>#N/A</v>
      </c>
      <c r="CR20" s="7" t="e">
        <f t="shared" si="5"/>
        <v>#N/A</v>
      </c>
    </row>
    <row r="21" spans="1:96" s="7" customFormat="1" ht="117">
      <c r="A21" s="75">
        <f t="shared" si="0"/>
        <v>13</v>
      </c>
      <c r="B21" s="210" t="s">
        <v>1491</v>
      </c>
      <c r="C21" s="218" t="s">
        <v>1809</v>
      </c>
      <c r="D21" s="219" t="s">
        <v>1745</v>
      </c>
      <c r="E21" s="211" t="s">
        <v>185</v>
      </c>
      <c r="F21" s="207">
        <v>1</v>
      </c>
      <c r="G21" s="205" t="s">
        <v>186</v>
      </c>
      <c r="H21" s="289" t="s">
        <v>1810</v>
      </c>
      <c r="I21" s="290" t="s">
        <v>1811</v>
      </c>
      <c r="J21" s="290" t="s">
        <v>256</v>
      </c>
      <c r="K21" s="290" t="s">
        <v>1812</v>
      </c>
      <c r="L21" s="290" t="s">
        <v>1813</v>
      </c>
      <c r="M21" s="290" t="s">
        <v>1812</v>
      </c>
      <c r="N21" s="291" t="s">
        <v>1814</v>
      </c>
      <c r="O21" s="291" t="s">
        <v>1815</v>
      </c>
      <c r="P21" s="291" t="s">
        <v>256</v>
      </c>
      <c r="Q21" s="291" t="s">
        <v>1815</v>
      </c>
      <c r="R21" s="291" t="s">
        <v>1816</v>
      </c>
      <c r="S21" s="291" t="s">
        <v>1817</v>
      </c>
      <c r="T21" s="292" t="s">
        <v>1818</v>
      </c>
      <c r="U21" s="292" t="s">
        <v>1819</v>
      </c>
      <c r="V21" s="292" t="s">
        <v>256</v>
      </c>
      <c r="W21" s="292" t="s">
        <v>1819</v>
      </c>
      <c r="X21" s="292" t="s">
        <v>1820</v>
      </c>
      <c r="Y21" s="292" t="s">
        <v>1821</v>
      </c>
      <c r="Z21" s="293" t="s">
        <v>1822</v>
      </c>
      <c r="AA21" s="293" t="s">
        <v>1823</v>
      </c>
      <c r="AB21" s="293" t="s">
        <v>1824</v>
      </c>
      <c r="AC21" s="294">
        <v>0.18870000000000001</v>
      </c>
      <c r="AD21" s="5"/>
      <c r="AF21" s="7" t="e">
        <f>IF(C21="","",VLOOKUP(C21,[3]listaBolsa!$D$2:$BB$276,51,0))</f>
        <v>#N/A</v>
      </c>
      <c r="BG21" s="7">
        <v>13</v>
      </c>
      <c r="CA21" s="7" t="e">
        <f>VLOOKUP(C21,[3]listaBolsa!$D$2:$BA$1248,1,0)</f>
        <v>#N/A</v>
      </c>
      <c r="CB21" s="7" t="e">
        <f>VLOOKUP(C21,[3]listaBolsa!$D$2:$BA$1248,2,0)</f>
        <v>#N/A</v>
      </c>
      <c r="CC21" s="7" t="e">
        <f>VLOOKUP(C21,[3]listaBolsa!$D$2:$BA$1248,10,0)</f>
        <v>#N/A</v>
      </c>
      <c r="CD21" s="7" t="e">
        <f>VLOOKUP(C21,[3]listaBolsa!$D$2:$BA$1248,14,0)</f>
        <v>#N/A</v>
      </c>
      <c r="CE21" s="7" t="e">
        <f>VLOOKUP(C21,[3]listaBolsa!$D$2:$BA$1248,23,0)</f>
        <v>#N/A</v>
      </c>
      <c r="CF21" s="7" t="e">
        <f>VLOOKUP(C21,[3]listaBolsa!$D$2:$BA$1248,29,0)</f>
        <v>#N/A</v>
      </c>
      <c r="CG21" s="7" t="e">
        <f>VLOOKUP(C21,[3]listaBolsa!$D$2:$BA$1248,36,0)</f>
        <v>#N/A</v>
      </c>
      <c r="CH21" s="7" t="e">
        <f>VLOOKUP(C21,[3]listaBolsa!$D$2:$BA$1248,40,0)</f>
        <v>#N/A</v>
      </c>
      <c r="CI21" s="7" t="e">
        <f>VLOOKUP(C21,[3]listaBolsa!$D$2:$BA$1248,48,0)</f>
        <v>#N/A</v>
      </c>
      <c r="CJ21" s="7" t="e">
        <f t="shared" si="1"/>
        <v>#N/A</v>
      </c>
      <c r="CK21" s="7" t="e">
        <f t="shared" si="1"/>
        <v>#N/A</v>
      </c>
      <c r="CL21" s="7" t="e">
        <f t="shared" si="2"/>
        <v>#N/A</v>
      </c>
      <c r="CM21" s="7" t="e">
        <f t="shared" si="2"/>
        <v>#N/A</v>
      </c>
      <c r="CN21" s="7" t="e">
        <f t="shared" si="3"/>
        <v>#N/A</v>
      </c>
      <c r="CO21" s="7" t="e">
        <f t="shared" si="3"/>
        <v>#N/A</v>
      </c>
      <c r="CP21" s="7" t="e">
        <f t="shared" si="4"/>
        <v>#N/A</v>
      </c>
      <c r="CQ21" s="7" t="e">
        <f t="shared" si="4"/>
        <v>#N/A</v>
      </c>
      <c r="CR21" s="7" t="e">
        <f t="shared" si="5"/>
        <v>#N/A</v>
      </c>
    </row>
    <row r="22" spans="1:96" s="7" customFormat="1" ht="117">
      <c r="A22" s="75">
        <f t="shared" si="0"/>
        <v>14</v>
      </c>
      <c r="B22" s="210" t="s">
        <v>1491</v>
      </c>
      <c r="C22" s="218" t="s">
        <v>1825</v>
      </c>
      <c r="D22" s="219" t="s">
        <v>1826</v>
      </c>
      <c r="E22" s="211" t="s">
        <v>185</v>
      </c>
      <c r="F22" s="207">
        <v>1</v>
      </c>
      <c r="G22" s="205" t="s">
        <v>186</v>
      </c>
      <c r="H22" s="289" t="s">
        <v>1746</v>
      </c>
      <c r="I22" s="290" t="s">
        <v>1747</v>
      </c>
      <c r="J22" s="290" t="s">
        <v>256</v>
      </c>
      <c r="K22" s="290" t="s">
        <v>1748</v>
      </c>
      <c r="L22" s="290" t="s">
        <v>1749</v>
      </c>
      <c r="M22" s="290" t="s">
        <v>1748</v>
      </c>
      <c r="N22" s="291" t="s">
        <v>1750</v>
      </c>
      <c r="O22" s="291" t="s">
        <v>1751</v>
      </c>
      <c r="P22" s="291" t="s">
        <v>256</v>
      </c>
      <c r="Q22" s="291" t="s">
        <v>1751</v>
      </c>
      <c r="R22" s="291" t="s">
        <v>1754</v>
      </c>
      <c r="S22" s="291" t="s">
        <v>1827</v>
      </c>
      <c r="T22" s="292" t="s">
        <v>1756</v>
      </c>
      <c r="U22" s="292" t="s">
        <v>1747</v>
      </c>
      <c r="V22" s="292" t="s">
        <v>256</v>
      </c>
      <c r="W22" s="292" t="s">
        <v>1747</v>
      </c>
      <c r="X22" s="292" t="s">
        <v>1828</v>
      </c>
      <c r="Y22" s="292" t="s">
        <v>1829</v>
      </c>
      <c r="Z22" s="293" t="s">
        <v>1830</v>
      </c>
      <c r="AA22" s="293" t="s">
        <v>1831</v>
      </c>
      <c r="AB22" s="293" t="s">
        <v>1832</v>
      </c>
      <c r="AC22" s="294">
        <v>0.1237</v>
      </c>
      <c r="AD22" s="5"/>
      <c r="AF22" s="7" t="e">
        <f>IF(C22="","",VLOOKUP(C22,[3]listaBolsa!$D$2:$BB$276,51,0))</f>
        <v>#N/A</v>
      </c>
      <c r="BG22" s="7">
        <v>14</v>
      </c>
      <c r="CA22" s="7" t="e">
        <f>VLOOKUP(C22,[3]listaBolsa!$D$2:$BA$1248,1,0)</f>
        <v>#N/A</v>
      </c>
      <c r="CB22" s="7" t="e">
        <f>VLOOKUP(C22,[3]listaBolsa!$D$2:$BA$1248,2,0)</f>
        <v>#N/A</v>
      </c>
      <c r="CC22" s="7" t="e">
        <f>VLOOKUP(C22,[3]listaBolsa!$D$2:$BA$1248,10,0)</f>
        <v>#N/A</v>
      </c>
      <c r="CD22" s="7" t="e">
        <f>VLOOKUP(C22,[3]listaBolsa!$D$2:$BA$1248,14,0)</f>
        <v>#N/A</v>
      </c>
      <c r="CE22" s="7" t="e">
        <f>VLOOKUP(C22,[3]listaBolsa!$D$2:$BA$1248,23,0)</f>
        <v>#N/A</v>
      </c>
      <c r="CF22" s="7" t="e">
        <f>VLOOKUP(C22,[3]listaBolsa!$D$2:$BA$1248,29,0)</f>
        <v>#N/A</v>
      </c>
      <c r="CG22" s="7" t="e">
        <f>VLOOKUP(C22,[3]listaBolsa!$D$2:$BA$1248,36,0)</f>
        <v>#N/A</v>
      </c>
      <c r="CH22" s="7" t="e">
        <f>VLOOKUP(C22,[3]listaBolsa!$D$2:$BA$1248,40,0)</f>
        <v>#N/A</v>
      </c>
      <c r="CI22" s="7" t="e">
        <f>VLOOKUP(C22,[3]listaBolsa!$D$2:$BA$1248,48,0)</f>
        <v>#N/A</v>
      </c>
      <c r="CJ22" s="7" t="e">
        <f t="shared" si="1"/>
        <v>#N/A</v>
      </c>
      <c r="CK22" s="7" t="e">
        <f t="shared" si="1"/>
        <v>#N/A</v>
      </c>
      <c r="CL22" s="7" t="e">
        <f t="shared" si="2"/>
        <v>#N/A</v>
      </c>
      <c r="CM22" s="7" t="e">
        <f t="shared" si="2"/>
        <v>#N/A</v>
      </c>
      <c r="CN22" s="7" t="e">
        <f t="shared" si="3"/>
        <v>#N/A</v>
      </c>
      <c r="CO22" s="7" t="e">
        <f t="shared" si="3"/>
        <v>#N/A</v>
      </c>
      <c r="CP22" s="7" t="e">
        <f t="shared" si="4"/>
        <v>#N/A</v>
      </c>
      <c r="CQ22" s="7" t="e">
        <f t="shared" si="4"/>
        <v>#N/A</v>
      </c>
      <c r="CR22" s="7" t="e">
        <f t="shared" si="5"/>
        <v>#N/A</v>
      </c>
    </row>
    <row r="23" spans="1:96" s="7" customFormat="1" ht="117">
      <c r="A23" s="75">
        <f t="shared" si="0"/>
        <v>15</v>
      </c>
      <c r="B23" s="210" t="s">
        <v>1491</v>
      </c>
      <c r="C23" s="218" t="s">
        <v>1833</v>
      </c>
      <c r="D23" s="219" t="s">
        <v>1826</v>
      </c>
      <c r="E23" s="211" t="s">
        <v>185</v>
      </c>
      <c r="F23" s="207">
        <v>1</v>
      </c>
      <c r="G23" s="205" t="s">
        <v>186</v>
      </c>
      <c r="H23" s="289" t="s">
        <v>1666</v>
      </c>
      <c r="I23" s="290" t="s">
        <v>1834</v>
      </c>
      <c r="J23" s="290" t="s">
        <v>256</v>
      </c>
      <c r="K23" s="290" t="s">
        <v>1835</v>
      </c>
      <c r="L23" s="290" t="s">
        <v>1836</v>
      </c>
      <c r="M23" s="290" t="s">
        <v>1835</v>
      </c>
      <c r="N23" s="291" t="s">
        <v>1670</v>
      </c>
      <c r="O23" s="291" t="s">
        <v>1837</v>
      </c>
      <c r="P23" s="291" t="s">
        <v>256</v>
      </c>
      <c r="Q23" s="291" t="s">
        <v>1837</v>
      </c>
      <c r="R23" s="291" t="s">
        <v>1838</v>
      </c>
      <c r="S23" s="291" t="s">
        <v>1839</v>
      </c>
      <c r="T23" s="292" t="s">
        <v>1779</v>
      </c>
      <c r="U23" s="292" t="s">
        <v>1840</v>
      </c>
      <c r="V23" s="292" t="s">
        <v>256</v>
      </c>
      <c r="W23" s="292" t="s">
        <v>1840</v>
      </c>
      <c r="X23" s="292" t="s">
        <v>1841</v>
      </c>
      <c r="Y23" s="292" t="s">
        <v>1842</v>
      </c>
      <c r="Z23" s="293" t="s">
        <v>1843</v>
      </c>
      <c r="AA23" s="293" t="s">
        <v>1844</v>
      </c>
      <c r="AB23" s="293" t="s">
        <v>1845</v>
      </c>
      <c r="AC23" s="294">
        <v>7.0099999999999996E-2</v>
      </c>
      <c r="AD23" s="5"/>
      <c r="AF23" s="7" t="e">
        <f>IF(C23="","",VLOOKUP(C23,[3]listaBolsa!$D$2:$BB$276,51,0))</f>
        <v>#N/A</v>
      </c>
      <c r="BG23" s="7">
        <v>15</v>
      </c>
      <c r="CA23" s="7" t="e">
        <f>VLOOKUP(C23,[3]listaBolsa!$D$2:$BA$1248,1,0)</f>
        <v>#N/A</v>
      </c>
      <c r="CB23" s="7" t="e">
        <f>VLOOKUP(C23,[3]listaBolsa!$D$2:$BA$1248,2,0)</f>
        <v>#N/A</v>
      </c>
      <c r="CC23" s="7" t="e">
        <f>VLOOKUP(C23,[3]listaBolsa!$D$2:$BA$1248,10,0)</f>
        <v>#N/A</v>
      </c>
      <c r="CD23" s="7" t="e">
        <f>VLOOKUP(C23,[3]listaBolsa!$D$2:$BA$1248,14,0)</f>
        <v>#N/A</v>
      </c>
      <c r="CE23" s="7" t="e">
        <f>VLOOKUP(C23,[3]listaBolsa!$D$2:$BA$1248,23,0)</f>
        <v>#N/A</v>
      </c>
      <c r="CF23" s="7" t="e">
        <f>VLOOKUP(C23,[3]listaBolsa!$D$2:$BA$1248,29,0)</f>
        <v>#N/A</v>
      </c>
      <c r="CG23" s="7" t="e">
        <f>VLOOKUP(C23,[3]listaBolsa!$D$2:$BA$1248,36,0)</f>
        <v>#N/A</v>
      </c>
      <c r="CH23" s="7" t="e">
        <f>VLOOKUP(C23,[3]listaBolsa!$D$2:$BA$1248,40,0)</f>
        <v>#N/A</v>
      </c>
      <c r="CI23" s="7" t="e">
        <f>VLOOKUP(C23,[3]listaBolsa!$D$2:$BA$1248,48,0)</f>
        <v>#N/A</v>
      </c>
      <c r="CJ23" s="7" t="e">
        <f t="shared" si="1"/>
        <v>#N/A</v>
      </c>
      <c r="CK23" s="7" t="e">
        <f t="shared" si="1"/>
        <v>#N/A</v>
      </c>
      <c r="CL23" s="7" t="e">
        <f t="shared" si="2"/>
        <v>#N/A</v>
      </c>
      <c r="CM23" s="7" t="e">
        <f t="shared" si="2"/>
        <v>#N/A</v>
      </c>
      <c r="CN23" s="7" t="e">
        <f t="shared" si="3"/>
        <v>#N/A</v>
      </c>
      <c r="CO23" s="7" t="e">
        <f t="shared" si="3"/>
        <v>#N/A</v>
      </c>
      <c r="CP23" s="7" t="e">
        <f t="shared" si="4"/>
        <v>#N/A</v>
      </c>
      <c r="CQ23" s="7" t="e">
        <f t="shared" si="4"/>
        <v>#N/A</v>
      </c>
      <c r="CR23" s="7" t="e">
        <f t="shared" si="5"/>
        <v>#N/A</v>
      </c>
    </row>
    <row r="24" spans="1:96" s="7" customFormat="1" ht="117">
      <c r="A24" s="75">
        <f t="shared" si="0"/>
        <v>16</v>
      </c>
      <c r="B24" s="210" t="s">
        <v>1491</v>
      </c>
      <c r="C24" s="218" t="s">
        <v>1846</v>
      </c>
      <c r="D24" s="219" t="s">
        <v>1826</v>
      </c>
      <c r="E24" s="211" t="s">
        <v>185</v>
      </c>
      <c r="F24" s="207">
        <v>1</v>
      </c>
      <c r="G24" s="205" t="s">
        <v>186</v>
      </c>
      <c r="H24" s="289" t="s">
        <v>1666</v>
      </c>
      <c r="I24" s="290" t="s">
        <v>1847</v>
      </c>
      <c r="J24" s="290" t="s">
        <v>256</v>
      </c>
      <c r="K24" s="290" t="s">
        <v>1848</v>
      </c>
      <c r="L24" s="290" t="s">
        <v>1849</v>
      </c>
      <c r="M24" s="290" t="s">
        <v>1848</v>
      </c>
      <c r="N24" s="291" t="s">
        <v>1674</v>
      </c>
      <c r="O24" s="291" t="s">
        <v>1850</v>
      </c>
      <c r="P24" s="291" t="s">
        <v>256</v>
      </c>
      <c r="Q24" s="291" t="s">
        <v>1850</v>
      </c>
      <c r="R24" s="291" t="s">
        <v>1851</v>
      </c>
      <c r="S24" s="291" t="s">
        <v>1852</v>
      </c>
      <c r="T24" s="292" t="s">
        <v>1670</v>
      </c>
      <c r="U24" s="292" t="s">
        <v>1853</v>
      </c>
      <c r="V24" s="292" t="s">
        <v>256</v>
      </c>
      <c r="W24" s="292" t="s">
        <v>1853</v>
      </c>
      <c r="X24" s="292" t="s">
        <v>1854</v>
      </c>
      <c r="Y24" s="292" t="s">
        <v>1855</v>
      </c>
      <c r="Z24" s="293" t="s">
        <v>1856</v>
      </c>
      <c r="AA24" s="293" t="s">
        <v>1857</v>
      </c>
      <c r="AB24" s="293" t="s">
        <v>1858</v>
      </c>
      <c r="AC24" s="294">
        <v>0.1288</v>
      </c>
      <c r="AD24" s="5"/>
      <c r="AF24" s="7" t="e">
        <f>IF(C24="","",VLOOKUP(C24,[3]listaBolsa!$D$2:$BB$276,51,0))</f>
        <v>#N/A</v>
      </c>
      <c r="BG24" s="7">
        <v>16</v>
      </c>
      <c r="CA24" s="7" t="e">
        <f>VLOOKUP(C24,[3]listaBolsa!$D$2:$BA$1248,1,0)</f>
        <v>#N/A</v>
      </c>
      <c r="CB24" s="7" t="e">
        <f>VLOOKUP(C24,[3]listaBolsa!$D$2:$BA$1248,2,0)</f>
        <v>#N/A</v>
      </c>
      <c r="CC24" s="7" t="e">
        <f>VLOOKUP(C24,[3]listaBolsa!$D$2:$BA$1248,10,0)</f>
        <v>#N/A</v>
      </c>
      <c r="CD24" s="7" t="e">
        <f>VLOOKUP(C24,[3]listaBolsa!$D$2:$BA$1248,14,0)</f>
        <v>#N/A</v>
      </c>
      <c r="CE24" s="7" t="e">
        <f>VLOOKUP(C24,[3]listaBolsa!$D$2:$BA$1248,23,0)</f>
        <v>#N/A</v>
      </c>
      <c r="CF24" s="7" t="e">
        <f>VLOOKUP(C24,[3]listaBolsa!$D$2:$BA$1248,29,0)</f>
        <v>#N/A</v>
      </c>
      <c r="CG24" s="7" t="e">
        <f>VLOOKUP(C24,[3]listaBolsa!$D$2:$BA$1248,36,0)</f>
        <v>#N/A</v>
      </c>
      <c r="CH24" s="7" t="e">
        <f>VLOOKUP(C24,[3]listaBolsa!$D$2:$BA$1248,40,0)</f>
        <v>#N/A</v>
      </c>
      <c r="CI24" s="7" t="e">
        <f>VLOOKUP(C24,[3]listaBolsa!$D$2:$BA$1248,48,0)</f>
        <v>#N/A</v>
      </c>
      <c r="CJ24" s="7" t="e">
        <f t="shared" si="1"/>
        <v>#N/A</v>
      </c>
      <c r="CK24" s="7" t="e">
        <f t="shared" si="1"/>
        <v>#N/A</v>
      </c>
      <c r="CL24" s="7" t="e">
        <f t="shared" si="2"/>
        <v>#N/A</v>
      </c>
      <c r="CM24" s="7" t="e">
        <f t="shared" si="2"/>
        <v>#N/A</v>
      </c>
      <c r="CN24" s="7" t="e">
        <f t="shared" si="3"/>
        <v>#N/A</v>
      </c>
      <c r="CO24" s="7" t="e">
        <f t="shared" si="3"/>
        <v>#N/A</v>
      </c>
      <c r="CP24" s="7" t="e">
        <f t="shared" si="4"/>
        <v>#N/A</v>
      </c>
      <c r="CQ24" s="7" t="e">
        <f t="shared" si="4"/>
        <v>#N/A</v>
      </c>
      <c r="CR24" s="7" t="e">
        <f t="shared" si="5"/>
        <v>#N/A</v>
      </c>
    </row>
    <row r="25" spans="1:96" s="7" customFormat="1" ht="117">
      <c r="A25" s="75">
        <f t="shared" si="0"/>
        <v>17</v>
      </c>
      <c r="B25" s="210" t="s">
        <v>1491</v>
      </c>
      <c r="C25" s="218" t="s">
        <v>1859</v>
      </c>
      <c r="D25" s="219" t="s">
        <v>1826</v>
      </c>
      <c r="E25" s="211" t="s">
        <v>185</v>
      </c>
      <c r="F25" s="207">
        <v>1</v>
      </c>
      <c r="G25" s="205" t="s">
        <v>186</v>
      </c>
      <c r="H25" s="289" t="s">
        <v>1666</v>
      </c>
      <c r="I25" s="290" t="s">
        <v>1860</v>
      </c>
      <c r="J25" s="290" t="s">
        <v>256</v>
      </c>
      <c r="K25" s="290" t="s">
        <v>1861</v>
      </c>
      <c r="L25" s="290" t="s">
        <v>1862</v>
      </c>
      <c r="M25" s="290" t="s">
        <v>1861</v>
      </c>
      <c r="N25" s="291" t="s">
        <v>1670</v>
      </c>
      <c r="O25" s="291" t="s">
        <v>1863</v>
      </c>
      <c r="P25" s="291" t="s">
        <v>256</v>
      </c>
      <c r="Q25" s="291" t="s">
        <v>1863</v>
      </c>
      <c r="R25" s="291" t="s">
        <v>1864</v>
      </c>
      <c r="S25" s="291" t="s">
        <v>1865</v>
      </c>
      <c r="T25" s="292" t="s">
        <v>1674</v>
      </c>
      <c r="U25" s="292" t="s">
        <v>1866</v>
      </c>
      <c r="V25" s="292" t="s">
        <v>256</v>
      </c>
      <c r="W25" s="292" t="s">
        <v>1866</v>
      </c>
      <c r="X25" s="292" t="s">
        <v>1867</v>
      </c>
      <c r="Y25" s="292" t="s">
        <v>1868</v>
      </c>
      <c r="Z25" s="293" t="s">
        <v>1869</v>
      </c>
      <c r="AA25" s="293" t="s">
        <v>1870</v>
      </c>
      <c r="AB25" s="293" t="s">
        <v>1871</v>
      </c>
      <c r="AC25" s="294">
        <v>0.1326</v>
      </c>
      <c r="AD25" s="5"/>
      <c r="AF25" s="7" t="e">
        <f>IF(C25="","",VLOOKUP(C25,[3]listaBolsa!$D$2:$BB$276,51,0))</f>
        <v>#N/A</v>
      </c>
      <c r="BG25" s="7">
        <v>17</v>
      </c>
      <c r="CA25" s="7" t="e">
        <f>VLOOKUP(C25,[3]listaBolsa!$D$2:$BA$1248,1,0)</f>
        <v>#N/A</v>
      </c>
      <c r="CB25" s="7" t="e">
        <f>VLOOKUP(C25,[3]listaBolsa!$D$2:$BA$1248,2,0)</f>
        <v>#N/A</v>
      </c>
      <c r="CC25" s="7" t="e">
        <f>VLOOKUP(C25,[3]listaBolsa!$D$2:$BA$1248,10,0)</f>
        <v>#N/A</v>
      </c>
      <c r="CD25" s="7" t="e">
        <f>VLOOKUP(C25,[3]listaBolsa!$D$2:$BA$1248,14,0)</f>
        <v>#N/A</v>
      </c>
      <c r="CE25" s="7" t="e">
        <f>VLOOKUP(C25,[3]listaBolsa!$D$2:$BA$1248,23,0)</f>
        <v>#N/A</v>
      </c>
      <c r="CF25" s="7" t="e">
        <f>VLOOKUP(C25,[3]listaBolsa!$D$2:$BA$1248,29,0)</f>
        <v>#N/A</v>
      </c>
      <c r="CG25" s="7" t="e">
        <f>VLOOKUP(C25,[3]listaBolsa!$D$2:$BA$1248,36,0)</f>
        <v>#N/A</v>
      </c>
      <c r="CH25" s="7" t="e">
        <f>VLOOKUP(C25,[3]listaBolsa!$D$2:$BA$1248,40,0)</f>
        <v>#N/A</v>
      </c>
      <c r="CI25" s="7" t="e">
        <f>VLOOKUP(C25,[3]listaBolsa!$D$2:$BA$1248,48,0)</f>
        <v>#N/A</v>
      </c>
      <c r="CJ25" s="7" t="e">
        <f t="shared" si="1"/>
        <v>#N/A</v>
      </c>
      <c r="CK25" s="7" t="e">
        <f t="shared" si="1"/>
        <v>#N/A</v>
      </c>
      <c r="CL25" s="7" t="e">
        <f t="shared" si="2"/>
        <v>#N/A</v>
      </c>
      <c r="CM25" s="7" t="e">
        <f t="shared" si="2"/>
        <v>#N/A</v>
      </c>
      <c r="CN25" s="7" t="e">
        <f t="shared" si="3"/>
        <v>#N/A</v>
      </c>
      <c r="CO25" s="7" t="e">
        <f t="shared" si="3"/>
        <v>#N/A</v>
      </c>
      <c r="CP25" s="7" t="e">
        <f t="shared" si="4"/>
        <v>#N/A</v>
      </c>
      <c r="CQ25" s="7" t="e">
        <f t="shared" si="4"/>
        <v>#N/A</v>
      </c>
      <c r="CR25" s="7" t="e">
        <f t="shared" si="5"/>
        <v>#N/A</v>
      </c>
    </row>
    <row r="26" spans="1:96" s="7" customFormat="1" ht="117">
      <c r="A26" s="75">
        <f t="shared" si="0"/>
        <v>18</v>
      </c>
      <c r="B26" s="210" t="s">
        <v>1491</v>
      </c>
      <c r="C26" s="218" t="s">
        <v>1872</v>
      </c>
      <c r="D26" s="219" t="s">
        <v>1826</v>
      </c>
      <c r="E26" s="211" t="s">
        <v>185</v>
      </c>
      <c r="F26" s="207">
        <v>1</v>
      </c>
      <c r="G26" s="205" t="s">
        <v>186</v>
      </c>
      <c r="H26" s="289" t="s">
        <v>1666</v>
      </c>
      <c r="I26" s="290" t="s">
        <v>1860</v>
      </c>
      <c r="J26" s="290" t="s">
        <v>256</v>
      </c>
      <c r="K26" s="290" t="s">
        <v>1861</v>
      </c>
      <c r="L26" s="290" t="s">
        <v>1862</v>
      </c>
      <c r="M26" s="290" t="s">
        <v>1861</v>
      </c>
      <c r="N26" s="291" t="s">
        <v>1670</v>
      </c>
      <c r="O26" s="291" t="s">
        <v>1863</v>
      </c>
      <c r="P26" s="291" t="s">
        <v>256</v>
      </c>
      <c r="Q26" s="291" t="s">
        <v>1863</v>
      </c>
      <c r="R26" s="291" t="s">
        <v>1864</v>
      </c>
      <c r="S26" s="291" t="s">
        <v>1865</v>
      </c>
      <c r="T26" s="292" t="s">
        <v>1674</v>
      </c>
      <c r="U26" s="292" t="s">
        <v>1873</v>
      </c>
      <c r="V26" s="292" t="s">
        <v>256</v>
      </c>
      <c r="W26" s="292" t="s">
        <v>1873</v>
      </c>
      <c r="X26" s="292" t="s">
        <v>1874</v>
      </c>
      <c r="Y26" s="292" t="s">
        <v>1875</v>
      </c>
      <c r="Z26" s="293" t="s">
        <v>1876</v>
      </c>
      <c r="AA26" s="293" t="s">
        <v>1877</v>
      </c>
      <c r="AB26" s="293" t="s">
        <v>1878</v>
      </c>
      <c r="AC26" s="294">
        <v>0.11409999999999999</v>
      </c>
      <c r="AD26" s="5"/>
      <c r="AF26" s="7" t="e">
        <f>IF(C26="","",VLOOKUP(C26,[3]listaBolsa!$D$2:$BB$276,51,0))</f>
        <v>#N/A</v>
      </c>
      <c r="BG26" s="7">
        <v>18</v>
      </c>
      <c r="CA26" s="7" t="e">
        <f>VLOOKUP(C26,[3]listaBolsa!$D$2:$BA$1248,1,0)</f>
        <v>#N/A</v>
      </c>
      <c r="CB26" s="7" t="e">
        <f>VLOOKUP(C26,[3]listaBolsa!$D$2:$BA$1248,2,0)</f>
        <v>#N/A</v>
      </c>
      <c r="CC26" s="7" t="e">
        <f>VLOOKUP(C26,[3]listaBolsa!$D$2:$BA$1248,10,0)</f>
        <v>#N/A</v>
      </c>
      <c r="CD26" s="7" t="e">
        <f>VLOOKUP(C26,[3]listaBolsa!$D$2:$BA$1248,14,0)</f>
        <v>#N/A</v>
      </c>
      <c r="CE26" s="7" t="e">
        <f>VLOOKUP(C26,[3]listaBolsa!$D$2:$BA$1248,23,0)</f>
        <v>#N/A</v>
      </c>
      <c r="CF26" s="7" t="e">
        <f>VLOOKUP(C26,[3]listaBolsa!$D$2:$BA$1248,29,0)</f>
        <v>#N/A</v>
      </c>
      <c r="CG26" s="7" t="e">
        <f>VLOOKUP(C26,[3]listaBolsa!$D$2:$BA$1248,36,0)</f>
        <v>#N/A</v>
      </c>
      <c r="CH26" s="7" t="e">
        <f>VLOOKUP(C26,[3]listaBolsa!$D$2:$BA$1248,40,0)</f>
        <v>#N/A</v>
      </c>
      <c r="CI26" s="7" t="e">
        <f>VLOOKUP(C26,[3]listaBolsa!$D$2:$BA$1248,48,0)</f>
        <v>#N/A</v>
      </c>
      <c r="CJ26" s="7" t="e">
        <f t="shared" si="1"/>
        <v>#N/A</v>
      </c>
      <c r="CK26" s="7" t="e">
        <f t="shared" si="1"/>
        <v>#N/A</v>
      </c>
      <c r="CL26" s="7" t="e">
        <f t="shared" si="2"/>
        <v>#N/A</v>
      </c>
      <c r="CM26" s="7" t="e">
        <f t="shared" si="2"/>
        <v>#N/A</v>
      </c>
      <c r="CN26" s="7" t="e">
        <f t="shared" si="3"/>
        <v>#N/A</v>
      </c>
      <c r="CO26" s="7" t="e">
        <f t="shared" si="3"/>
        <v>#N/A</v>
      </c>
      <c r="CP26" s="7" t="e">
        <f t="shared" si="4"/>
        <v>#N/A</v>
      </c>
      <c r="CQ26" s="7" t="e">
        <f t="shared" si="4"/>
        <v>#N/A</v>
      </c>
      <c r="CR26" s="7" t="e">
        <f t="shared" si="5"/>
        <v>#N/A</v>
      </c>
    </row>
    <row r="27" spans="1:96" s="7" customFormat="1" ht="117">
      <c r="A27" s="75">
        <f t="shared" si="0"/>
        <v>19</v>
      </c>
      <c r="B27" s="210" t="s">
        <v>1491</v>
      </c>
      <c r="C27" s="218" t="s">
        <v>1879</v>
      </c>
      <c r="D27" s="219" t="s">
        <v>1826</v>
      </c>
      <c r="E27" s="211" t="s">
        <v>185</v>
      </c>
      <c r="F27" s="207">
        <v>1</v>
      </c>
      <c r="G27" s="205" t="s">
        <v>186</v>
      </c>
      <c r="H27" s="283" t="s">
        <v>1746</v>
      </c>
      <c r="I27" s="284" t="s">
        <v>1747</v>
      </c>
      <c r="J27" s="284" t="s">
        <v>256</v>
      </c>
      <c r="K27" s="284" t="s">
        <v>1748</v>
      </c>
      <c r="L27" s="284" t="s">
        <v>1749</v>
      </c>
      <c r="M27" s="284" t="s">
        <v>1748</v>
      </c>
      <c r="N27" s="285" t="s">
        <v>1750</v>
      </c>
      <c r="O27" s="285" t="s">
        <v>1751</v>
      </c>
      <c r="P27" s="285" t="s">
        <v>256</v>
      </c>
      <c r="Q27" s="285" t="s">
        <v>1751</v>
      </c>
      <c r="R27" s="285" t="s">
        <v>1754</v>
      </c>
      <c r="S27" s="285" t="s">
        <v>1827</v>
      </c>
      <c r="T27" s="286" t="s">
        <v>1756</v>
      </c>
      <c r="U27" s="286" t="s">
        <v>1747</v>
      </c>
      <c r="V27" s="286" t="s">
        <v>256</v>
      </c>
      <c r="W27" s="286" t="s">
        <v>1747</v>
      </c>
      <c r="X27" s="286" t="s">
        <v>1828</v>
      </c>
      <c r="Y27" s="286" t="s">
        <v>1829</v>
      </c>
      <c r="Z27" s="287" t="s">
        <v>1830</v>
      </c>
      <c r="AA27" s="287" t="s">
        <v>1831</v>
      </c>
      <c r="AB27" s="287" t="s">
        <v>1832</v>
      </c>
      <c r="AC27" s="288">
        <v>0.1237</v>
      </c>
      <c r="AD27" s="5"/>
      <c r="AF27" s="7" t="e">
        <f>IF(C27="","",VLOOKUP(C27,[3]listaBolsa!$D$2:$BB$276,51,0))</f>
        <v>#N/A</v>
      </c>
      <c r="BG27" s="7">
        <v>19</v>
      </c>
      <c r="CA27" s="7" t="e">
        <f>VLOOKUP(C27,[3]listaBolsa!$D$2:$BA$1248,1,0)</f>
        <v>#N/A</v>
      </c>
      <c r="CB27" s="7" t="e">
        <f>VLOOKUP(C27,[3]listaBolsa!$D$2:$BA$1248,2,0)</f>
        <v>#N/A</v>
      </c>
      <c r="CC27" s="7" t="e">
        <f>VLOOKUP(C27,[3]listaBolsa!$D$2:$BA$1248,10,0)</f>
        <v>#N/A</v>
      </c>
      <c r="CD27" s="7" t="e">
        <f>VLOOKUP(C27,[3]listaBolsa!$D$2:$BA$1248,14,0)</f>
        <v>#N/A</v>
      </c>
      <c r="CE27" s="7" t="e">
        <f>VLOOKUP(C27,[3]listaBolsa!$D$2:$BA$1248,23,0)</f>
        <v>#N/A</v>
      </c>
      <c r="CF27" s="7" t="e">
        <f>VLOOKUP(C27,[3]listaBolsa!$D$2:$BA$1248,29,0)</f>
        <v>#N/A</v>
      </c>
      <c r="CG27" s="7" t="e">
        <f>VLOOKUP(C27,[3]listaBolsa!$D$2:$BA$1248,36,0)</f>
        <v>#N/A</v>
      </c>
      <c r="CH27" s="7" t="e">
        <f>VLOOKUP(C27,[3]listaBolsa!$D$2:$BA$1248,40,0)</f>
        <v>#N/A</v>
      </c>
      <c r="CI27" s="7" t="e">
        <f>VLOOKUP(C27,[3]listaBolsa!$D$2:$BA$1248,48,0)</f>
        <v>#N/A</v>
      </c>
      <c r="CJ27" s="7" t="e">
        <f t="shared" si="1"/>
        <v>#N/A</v>
      </c>
      <c r="CK27" s="7" t="e">
        <f t="shared" si="1"/>
        <v>#N/A</v>
      </c>
      <c r="CL27" s="7" t="e">
        <f t="shared" si="2"/>
        <v>#N/A</v>
      </c>
      <c r="CM27" s="7" t="e">
        <f t="shared" si="2"/>
        <v>#N/A</v>
      </c>
      <c r="CN27" s="7" t="e">
        <f t="shared" si="3"/>
        <v>#N/A</v>
      </c>
      <c r="CO27" s="7" t="e">
        <f t="shared" si="3"/>
        <v>#N/A</v>
      </c>
      <c r="CP27" s="7" t="e">
        <f t="shared" si="4"/>
        <v>#N/A</v>
      </c>
      <c r="CQ27" s="7" t="e">
        <f t="shared" si="4"/>
        <v>#N/A</v>
      </c>
      <c r="CR27" s="7" t="e">
        <f t="shared" si="5"/>
        <v>#N/A</v>
      </c>
    </row>
    <row r="28" spans="1:96" s="7" customFormat="1" ht="117">
      <c r="A28" s="75">
        <f t="shared" si="0"/>
        <v>20</v>
      </c>
      <c r="B28" s="210" t="s">
        <v>1491</v>
      </c>
      <c r="C28" s="218" t="s">
        <v>1880</v>
      </c>
      <c r="D28" s="219" t="s">
        <v>1826</v>
      </c>
      <c r="E28" s="211" t="s">
        <v>185</v>
      </c>
      <c r="F28" s="207">
        <v>1</v>
      </c>
      <c r="G28" s="205" t="s">
        <v>186</v>
      </c>
      <c r="H28" s="289" t="s">
        <v>1666</v>
      </c>
      <c r="I28" s="290" t="s">
        <v>1881</v>
      </c>
      <c r="J28" s="290" t="s">
        <v>256</v>
      </c>
      <c r="K28" s="290" t="s">
        <v>1882</v>
      </c>
      <c r="L28" s="290" t="s">
        <v>1883</v>
      </c>
      <c r="M28" s="290" t="s">
        <v>1882</v>
      </c>
      <c r="N28" s="291" t="s">
        <v>1670</v>
      </c>
      <c r="O28" s="291" t="s">
        <v>1853</v>
      </c>
      <c r="P28" s="291" t="s">
        <v>256</v>
      </c>
      <c r="Q28" s="291" t="s">
        <v>1853</v>
      </c>
      <c r="R28" s="291" t="s">
        <v>1854</v>
      </c>
      <c r="S28" s="291" t="s">
        <v>1855</v>
      </c>
      <c r="T28" s="292" t="s">
        <v>1674</v>
      </c>
      <c r="U28" s="292" t="s">
        <v>1884</v>
      </c>
      <c r="V28" s="292" t="s">
        <v>256</v>
      </c>
      <c r="W28" s="292" t="s">
        <v>1884</v>
      </c>
      <c r="X28" s="292" t="s">
        <v>1885</v>
      </c>
      <c r="Y28" s="292" t="s">
        <v>1886</v>
      </c>
      <c r="Z28" s="293" t="s">
        <v>1887</v>
      </c>
      <c r="AA28" s="293" t="s">
        <v>1888</v>
      </c>
      <c r="AB28" s="293" t="s">
        <v>1889</v>
      </c>
      <c r="AC28" s="294">
        <v>5.5100000000000003E-2</v>
      </c>
      <c r="AD28" s="5"/>
      <c r="AF28" s="7" t="e">
        <f>IF(C28="","",VLOOKUP(C28,[3]listaBolsa!$D$2:$BB$276,51,0))</f>
        <v>#N/A</v>
      </c>
      <c r="BG28" s="7">
        <v>20</v>
      </c>
      <c r="CA28" s="7" t="e">
        <f>VLOOKUP(C28,[3]listaBolsa!$D$2:$BA$1248,1,0)</f>
        <v>#N/A</v>
      </c>
      <c r="CB28" s="7" t="e">
        <f>VLOOKUP(C28,[3]listaBolsa!$D$2:$BA$1248,2,0)</f>
        <v>#N/A</v>
      </c>
      <c r="CC28" s="7" t="e">
        <f>VLOOKUP(C28,[3]listaBolsa!$D$2:$BA$1248,10,0)</f>
        <v>#N/A</v>
      </c>
      <c r="CD28" s="7" t="e">
        <f>VLOOKUP(C28,[3]listaBolsa!$D$2:$BA$1248,14,0)</f>
        <v>#N/A</v>
      </c>
      <c r="CE28" s="7" t="e">
        <f>VLOOKUP(C28,[3]listaBolsa!$D$2:$BA$1248,23,0)</f>
        <v>#N/A</v>
      </c>
      <c r="CF28" s="7" t="e">
        <f>VLOOKUP(C28,[3]listaBolsa!$D$2:$BA$1248,29,0)</f>
        <v>#N/A</v>
      </c>
      <c r="CG28" s="7" t="e">
        <f>VLOOKUP(C28,[3]listaBolsa!$D$2:$BA$1248,36,0)</f>
        <v>#N/A</v>
      </c>
      <c r="CH28" s="7" t="e">
        <f>VLOOKUP(C28,[3]listaBolsa!$D$2:$BA$1248,40,0)</f>
        <v>#N/A</v>
      </c>
      <c r="CI28" s="7" t="e">
        <f>VLOOKUP(C28,[3]listaBolsa!$D$2:$BA$1248,48,0)</f>
        <v>#N/A</v>
      </c>
      <c r="CJ28" s="7" t="e">
        <f t="shared" si="1"/>
        <v>#N/A</v>
      </c>
      <c r="CK28" s="7" t="e">
        <f t="shared" si="1"/>
        <v>#N/A</v>
      </c>
      <c r="CL28" s="7" t="e">
        <f t="shared" si="2"/>
        <v>#N/A</v>
      </c>
      <c r="CM28" s="7" t="e">
        <f t="shared" si="2"/>
        <v>#N/A</v>
      </c>
      <c r="CN28" s="7" t="e">
        <f t="shared" si="3"/>
        <v>#N/A</v>
      </c>
      <c r="CO28" s="7" t="e">
        <f t="shared" si="3"/>
        <v>#N/A</v>
      </c>
      <c r="CP28" s="7" t="e">
        <f t="shared" si="4"/>
        <v>#N/A</v>
      </c>
      <c r="CQ28" s="7" t="e">
        <f t="shared" si="4"/>
        <v>#N/A</v>
      </c>
      <c r="CR28" s="7" t="e">
        <f t="shared" si="5"/>
        <v>#N/A</v>
      </c>
    </row>
    <row r="29" spans="1:96" s="7" customFormat="1" ht="117">
      <c r="A29" s="75">
        <f t="shared" si="0"/>
        <v>21</v>
      </c>
      <c r="B29" s="210" t="s">
        <v>1491</v>
      </c>
      <c r="C29" s="218" t="s">
        <v>1890</v>
      </c>
      <c r="D29" s="219" t="s">
        <v>1826</v>
      </c>
      <c r="E29" s="211" t="s">
        <v>185</v>
      </c>
      <c r="F29" s="207">
        <v>1</v>
      </c>
      <c r="G29" s="205" t="s">
        <v>186</v>
      </c>
      <c r="H29" s="289" t="s">
        <v>1746</v>
      </c>
      <c r="I29" s="290" t="s">
        <v>1747</v>
      </c>
      <c r="J29" s="290" t="s">
        <v>256</v>
      </c>
      <c r="K29" s="290" t="s">
        <v>1748</v>
      </c>
      <c r="L29" s="290" t="s">
        <v>1749</v>
      </c>
      <c r="M29" s="290" t="s">
        <v>1748</v>
      </c>
      <c r="N29" s="291" t="s">
        <v>1891</v>
      </c>
      <c r="O29" s="291" t="s">
        <v>1751</v>
      </c>
      <c r="P29" s="291" t="s">
        <v>256</v>
      </c>
      <c r="Q29" s="291" t="s">
        <v>1751</v>
      </c>
      <c r="R29" s="291" t="s">
        <v>1754</v>
      </c>
      <c r="S29" s="291" t="s">
        <v>1827</v>
      </c>
      <c r="T29" s="292" t="s">
        <v>1756</v>
      </c>
      <c r="U29" s="292" t="s">
        <v>1747</v>
      </c>
      <c r="V29" s="292" t="s">
        <v>256</v>
      </c>
      <c r="W29" s="292" t="s">
        <v>1747</v>
      </c>
      <c r="X29" s="292" t="s">
        <v>1828</v>
      </c>
      <c r="Y29" s="292" t="s">
        <v>1829</v>
      </c>
      <c r="Z29" s="293" t="s">
        <v>1830</v>
      </c>
      <c r="AA29" s="293" t="s">
        <v>1831</v>
      </c>
      <c r="AB29" s="293" t="s">
        <v>1832</v>
      </c>
      <c r="AC29" s="294">
        <v>0.1237</v>
      </c>
      <c r="AD29" s="5"/>
      <c r="AF29" s="7" t="e">
        <f>IF(C29="","",VLOOKUP(C29,[3]listaBolsa!$D$2:$BB$276,51,0))</f>
        <v>#N/A</v>
      </c>
      <c r="BG29" s="7">
        <v>21</v>
      </c>
      <c r="CA29" s="7" t="e">
        <f>VLOOKUP(C29,[3]listaBolsa!$D$2:$BA$1248,1,0)</f>
        <v>#N/A</v>
      </c>
      <c r="CB29" s="7" t="e">
        <f>VLOOKUP(C29,[3]listaBolsa!$D$2:$BA$1248,2,0)</f>
        <v>#N/A</v>
      </c>
      <c r="CC29" s="7" t="e">
        <f>VLOOKUP(C29,[3]listaBolsa!$D$2:$BA$1248,10,0)</f>
        <v>#N/A</v>
      </c>
      <c r="CD29" s="7" t="e">
        <f>VLOOKUP(C29,[3]listaBolsa!$D$2:$BA$1248,14,0)</f>
        <v>#N/A</v>
      </c>
      <c r="CE29" s="7" t="e">
        <f>VLOOKUP(C29,[3]listaBolsa!$D$2:$BA$1248,23,0)</f>
        <v>#N/A</v>
      </c>
      <c r="CF29" s="7" t="e">
        <f>VLOOKUP(C29,[3]listaBolsa!$D$2:$BA$1248,29,0)</f>
        <v>#N/A</v>
      </c>
      <c r="CG29" s="7" t="e">
        <f>VLOOKUP(C29,[3]listaBolsa!$D$2:$BA$1248,36,0)</f>
        <v>#N/A</v>
      </c>
      <c r="CH29" s="7" t="e">
        <f>VLOOKUP(C29,[3]listaBolsa!$D$2:$BA$1248,40,0)</f>
        <v>#N/A</v>
      </c>
      <c r="CI29" s="7" t="e">
        <f>VLOOKUP(C29,[3]listaBolsa!$D$2:$BA$1248,48,0)</f>
        <v>#N/A</v>
      </c>
      <c r="CJ29" s="7" t="e">
        <f t="shared" si="1"/>
        <v>#N/A</v>
      </c>
      <c r="CK29" s="7" t="e">
        <f t="shared" si="1"/>
        <v>#N/A</v>
      </c>
      <c r="CL29" s="7" t="e">
        <f t="shared" si="2"/>
        <v>#N/A</v>
      </c>
      <c r="CM29" s="7" t="e">
        <f t="shared" si="2"/>
        <v>#N/A</v>
      </c>
      <c r="CN29" s="7" t="e">
        <f t="shared" si="3"/>
        <v>#N/A</v>
      </c>
      <c r="CO29" s="7" t="e">
        <f t="shared" si="3"/>
        <v>#N/A</v>
      </c>
      <c r="CP29" s="7" t="e">
        <f t="shared" si="4"/>
        <v>#N/A</v>
      </c>
      <c r="CQ29" s="7" t="e">
        <f t="shared" si="4"/>
        <v>#N/A</v>
      </c>
      <c r="CR29" s="7" t="e">
        <f t="shared" si="5"/>
        <v>#N/A</v>
      </c>
    </row>
    <row r="30" spans="1:96" s="7" customFormat="1" ht="117">
      <c r="A30" s="75">
        <f t="shared" si="0"/>
        <v>22</v>
      </c>
      <c r="B30" s="210" t="s">
        <v>1491</v>
      </c>
      <c r="C30" s="218" t="s">
        <v>1892</v>
      </c>
      <c r="D30" s="219" t="s">
        <v>1826</v>
      </c>
      <c r="E30" s="211" t="s">
        <v>185</v>
      </c>
      <c r="F30" s="207">
        <v>1</v>
      </c>
      <c r="G30" s="205" t="s">
        <v>186</v>
      </c>
      <c r="H30" s="289" t="s">
        <v>1666</v>
      </c>
      <c r="I30" s="290" t="s">
        <v>1764</v>
      </c>
      <c r="J30" s="290" t="s">
        <v>256</v>
      </c>
      <c r="K30" s="290" t="s">
        <v>1765</v>
      </c>
      <c r="L30" s="290" t="s">
        <v>1766</v>
      </c>
      <c r="M30" s="290" t="s">
        <v>1765</v>
      </c>
      <c r="N30" s="291" t="s">
        <v>1670</v>
      </c>
      <c r="O30" s="291" t="s">
        <v>1767</v>
      </c>
      <c r="P30" s="291" t="s">
        <v>256</v>
      </c>
      <c r="Q30" s="291" t="s">
        <v>1767</v>
      </c>
      <c r="R30" s="291" t="s">
        <v>1770</v>
      </c>
      <c r="S30" s="291" t="s">
        <v>1893</v>
      </c>
      <c r="T30" s="292" t="s">
        <v>1674</v>
      </c>
      <c r="U30" s="292" t="s">
        <v>1894</v>
      </c>
      <c r="V30" s="292" t="s">
        <v>256</v>
      </c>
      <c r="W30" s="292" t="s">
        <v>1894</v>
      </c>
      <c r="X30" s="292" t="s">
        <v>1895</v>
      </c>
      <c r="Y30" s="292" t="s">
        <v>1896</v>
      </c>
      <c r="Z30" s="293" t="s">
        <v>1897</v>
      </c>
      <c r="AA30" s="293" t="s">
        <v>1898</v>
      </c>
      <c r="AB30" s="293" t="s">
        <v>1899</v>
      </c>
      <c r="AC30" s="294">
        <v>0.1769</v>
      </c>
      <c r="AD30" s="5"/>
      <c r="AF30" s="7" t="e">
        <f>IF(C30="","",VLOOKUP(C30,[3]listaBolsa!$D$2:$BB$276,51,0))</f>
        <v>#N/A</v>
      </c>
      <c r="BG30" s="7">
        <v>22</v>
      </c>
      <c r="CA30" s="7" t="e">
        <f>VLOOKUP(C30,[3]listaBolsa!$D$2:$BA$1248,1,0)</f>
        <v>#N/A</v>
      </c>
      <c r="CB30" s="7" t="e">
        <f>VLOOKUP(C30,[3]listaBolsa!$D$2:$BA$1248,2,0)</f>
        <v>#N/A</v>
      </c>
      <c r="CC30" s="7" t="e">
        <f>VLOOKUP(C30,[3]listaBolsa!$D$2:$BA$1248,10,0)</f>
        <v>#N/A</v>
      </c>
      <c r="CD30" s="7" t="e">
        <f>VLOOKUP(C30,[3]listaBolsa!$D$2:$BA$1248,14,0)</f>
        <v>#N/A</v>
      </c>
      <c r="CE30" s="7" t="e">
        <f>VLOOKUP(C30,[3]listaBolsa!$D$2:$BA$1248,23,0)</f>
        <v>#N/A</v>
      </c>
      <c r="CF30" s="7" t="e">
        <f>VLOOKUP(C30,[3]listaBolsa!$D$2:$BA$1248,29,0)</f>
        <v>#N/A</v>
      </c>
      <c r="CG30" s="7" t="e">
        <f>VLOOKUP(C30,[3]listaBolsa!$D$2:$BA$1248,36,0)</f>
        <v>#N/A</v>
      </c>
      <c r="CH30" s="7" t="e">
        <f>VLOOKUP(C30,[3]listaBolsa!$D$2:$BA$1248,40,0)</f>
        <v>#N/A</v>
      </c>
      <c r="CI30" s="7" t="e">
        <f>VLOOKUP(C30,[3]listaBolsa!$D$2:$BA$1248,48,0)</f>
        <v>#N/A</v>
      </c>
      <c r="CJ30" s="7" t="e">
        <f t="shared" si="1"/>
        <v>#N/A</v>
      </c>
      <c r="CK30" s="7" t="e">
        <f t="shared" si="1"/>
        <v>#N/A</v>
      </c>
      <c r="CL30" s="7" t="e">
        <f t="shared" si="2"/>
        <v>#N/A</v>
      </c>
      <c r="CM30" s="7" t="e">
        <f t="shared" si="2"/>
        <v>#N/A</v>
      </c>
      <c r="CN30" s="7" t="e">
        <f t="shared" si="3"/>
        <v>#N/A</v>
      </c>
      <c r="CO30" s="7" t="e">
        <f t="shared" si="3"/>
        <v>#N/A</v>
      </c>
      <c r="CP30" s="7" t="e">
        <f t="shared" si="4"/>
        <v>#N/A</v>
      </c>
      <c r="CQ30" s="7" t="e">
        <f t="shared" si="4"/>
        <v>#N/A</v>
      </c>
      <c r="CR30" s="7" t="e">
        <f t="shared" si="5"/>
        <v>#N/A</v>
      </c>
    </row>
    <row r="31" spans="1:96" s="7" customFormat="1" ht="117">
      <c r="A31" s="75">
        <f t="shared" si="0"/>
        <v>23</v>
      </c>
      <c r="B31" s="210" t="s">
        <v>1491</v>
      </c>
      <c r="C31" s="218" t="s">
        <v>1900</v>
      </c>
      <c r="D31" s="219" t="s">
        <v>1826</v>
      </c>
      <c r="E31" s="211" t="s">
        <v>185</v>
      </c>
      <c r="F31" s="207">
        <v>1</v>
      </c>
      <c r="G31" s="205" t="s">
        <v>186</v>
      </c>
      <c r="H31" s="289" t="s">
        <v>1666</v>
      </c>
      <c r="I31" s="290" t="s">
        <v>1764</v>
      </c>
      <c r="J31" s="290" t="s">
        <v>256</v>
      </c>
      <c r="K31" s="290" t="s">
        <v>1765</v>
      </c>
      <c r="L31" s="290" t="s">
        <v>1766</v>
      </c>
      <c r="M31" s="290" t="s">
        <v>1765</v>
      </c>
      <c r="N31" s="291" t="s">
        <v>1670</v>
      </c>
      <c r="O31" s="291" t="s">
        <v>1767</v>
      </c>
      <c r="P31" s="291" t="s">
        <v>256</v>
      </c>
      <c r="Q31" s="291" t="s">
        <v>1767</v>
      </c>
      <c r="R31" s="291" t="s">
        <v>1770</v>
      </c>
      <c r="S31" s="291" t="s">
        <v>1893</v>
      </c>
      <c r="T31" s="292" t="s">
        <v>1901</v>
      </c>
      <c r="U31" s="292" t="s">
        <v>1902</v>
      </c>
      <c r="V31" s="292" t="s">
        <v>256</v>
      </c>
      <c r="W31" s="292" t="s">
        <v>1902</v>
      </c>
      <c r="X31" s="292" t="s">
        <v>1903</v>
      </c>
      <c r="Y31" s="292" t="s">
        <v>1904</v>
      </c>
      <c r="Z31" s="293" t="s">
        <v>1905</v>
      </c>
      <c r="AA31" s="293" t="s">
        <v>1906</v>
      </c>
      <c r="AB31" s="293" t="s">
        <v>1907</v>
      </c>
      <c r="AC31" s="294">
        <v>0.1336</v>
      </c>
      <c r="AD31" s="5"/>
      <c r="AF31" s="7" t="e">
        <f>IF(C31="","",VLOOKUP(C31,[3]listaBolsa!$D$2:$BB$276,51,0))</f>
        <v>#N/A</v>
      </c>
      <c r="BG31" s="7">
        <v>23</v>
      </c>
      <c r="CA31" s="7" t="e">
        <f>VLOOKUP(C31,[3]listaBolsa!$D$2:$BA$1248,1,0)</f>
        <v>#N/A</v>
      </c>
      <c r="CB31" s="7" t="e">
        <f>VLOOKUP(C31,[3]listaBolsa!$D$2:$BA$1248,2,0)</f>
        <v>#N/A</v>
      </c>
      <c r="CC31" s="7" t="e">
        <f>VLOOKUP(C31,[3]listaBolsa!$D$2:$BA$1248,10,0)</f>
        <v>#N/A</v>
      </c>
      <c r="CD31" s="7" t="e">
        <f>VLOOKUP(C31,[3]listaBolsa!$D$2:$BA$1248,14,0)</f>
        <v>#N/A</v>
      </c>
      <c r="CE31" s="7" t="e">
        <f>VLOOKUP(C31,[3]listaBolsa!$D$2:$BA$1248,23,0)</f>
        <v>#N/A</v>
      </c>
      <c r="CF31" s="7" t="e">
        <f>VLOOKUP(C31,[3]listaBolsa!$D$2:$BA$1248,29,0)</f>
        <v>#N/A</v>
      </c>
      <c r="CG31" s="7" t="e">
        <f>VLOOKUP(C31,[3]listaBolsa!$D$2:$BA$1248,36,0)</f>
        <v>#N/A</v>
      </c>
      <c r="CH31" s="7" t="e">
        <f>VLOOKUP(C31,[3]listaBolsa!$D$2:$BA$1248,40,0)</f>
        <v>#N/A</v>
      </c>
      <c r="CI31" s="7" t="e">
        <f>VLOOKUP(C31,[3]listaBolsa!$D$2:$BA$1248,48,0)</f>
        <v>#N/A</v>
      </c>
      <c r="CJ31" s="7" t="e">
        <f t="shared" si="1"/>
        <v>#N/A</v>
      </c>
      <c r="CK31" s="7" t="e">
        <f t="shared" si="1"/>
        <v>#N/A</v>
      </c>
      <c r="CL31" s="7" t="e">
        <f t="shared" si="2"/>
        <v>#N/A</v>
      </c>
      <c r="CM31" s="7" t="e">
        <f t="shared" si="2"/>
        <v>#N/A</v>
      </c>
      <c r="CN31" s="7" t="e">
        <f t="shared" si="3"/>
        <v>#N/A</v>
      </c>
      <c r="CO31" s="7" t="e">
        <f t="shared" si="3"/>
        <v>#N/A</v>
      </c>
      <c r="CP31" s="7" t="e">
        <f t="shared" si="4"/>
        <v>#N/A</v>
      </c>
      <c r="CQ31" s="7" t="e">
        <f t="shared" si="4"/>
        <v>#N/A</v>
      </c>
      <c r="CR31" s="7" t="e">
        <f t="shared" si="5"/>
        <v>#N/A</v>
      </c>
    </row>
    <row r="32" spans="1:96" s="7" customFormat="1" ht="117">
      <c r="A32" s="75">
        <f t="shared" si="0"/>
        <v>24</v>
      </c>
      <c r="B32" s="210" t="s">
        <v>1491</v>
      </c>
      <c r="C32" s="218" t="s">
        <v>1908</v>
      </c>
      <c r="D32" s="219" t="s">
        <v>1826</v>
      </c>
      <c r="E32" s="211" t="s">
        <v>185</v>
      </c>
      <c r="F32" s="207">
        <v>1</v>
      </c>
      <c r="G32" s="205" t="s">
        <v>186</v>
      </c>
      <c r="H32" s="289" t="s">
        <v>1666</v>
      </c>
      <c r="I32" s="290" t="s">
        <v>1764</v>
      </c>
      <c r="J32" s="290" t="s">
        <v>256</v>
      </c>
      <c r="K32" s="290" t="s">
        <v>1765</v>
      </c>
      <c r="L32" s="290" t="s">
        <v>1766</v>
      </c>
      <c r="M32" s="290" t="s">
        <v>1765</v>
      </c>
      <c r="N32" s="291" t="s">
        <v>1670</v>
      </c>
      <c r="O32" s="291" t="s">
        <v>1767</v>
      </c>
      <c r="P32" s="291" t="s">
        <v>256</v>
      </c>
      <c r="Q32" s="291" t="s">
        <v>1767</v>
      </c>
      <c r="R32" s="291" t="s">
        <v>1770</v>
      </c>
      <c r="S32" s="291" t="s">
        <v>1893</v>
      </c>
      <c r="T32" s="292" t="s">
        <v>1674</v>
      </c>
      <c r="U32" s="292" t="s">
        <v>1909</v>
      </c>
      <c r="V32" s="292" t="s">
        <v>256</v>
      </c>
      <c r="W32" s="292" t="s">
        <v>1909</v>
      </c>
      <c r="X32" s="292" t="s">
        <v>1910</v>
      </c>
      <c r="Y32" s="292" t="s">
        <v>1911</v>
      </c>
      <c r="Z32" s="293" t="s">
        <v>1912</v>
      </c>
      <c r="AA32" s="293" t="s">
        <v>1913</v>
      </c>
      <c r="AB32" s="293" t="s">
        <v>1914</v>
      </c>
      <c r="AC32" s="294">
        <v>0.1996</v>
      </c>
      <c r="AD32" s="5"/>
      <c r="AF32" s="7" t="e">
        <f>IF(C32="","",VLOOKUP(C32,[3]listaBolsa!$D$2:$BB$276,51,0))</f>
        <v>#N/A</v>
      </c>
      <c r="BG32" s="7">
        <v>24</v>
      </c>
      <c r="CA32" s="7" t="e">
        <f>VLOOKUP(C32,[3]listaBolsa!$D$2:$BA$1248,1,0)</f>
        <v>#N/A</v>
      </c>
      <c r="CB32" s="7" t="e">
        <f>VLOOKUP(C32,[3]listaBolsa!$D$2:$BA$1248,2,0)</f>
        <v>#N/A</v>
      </c>
      <c r="CC32" s="7" t="e">
        <f>VLOOKUP(C32,[3]listaBolsa!$D$2:$BA$1248,10,0)</f>
        <v>#N/A</v>
      </c>
      <c r="CD32" s="7" t="e">
        <f>VLOOKUP(C32,[3]listaBolsa!$D$2:$BA$1248,14,0)</f>
        <v>#N/A</v>
      </c>
      <c r="CE32" s="7" t="e">
        <f>VLOOKUP(C32,[3]listaBolsa!$D$2:$BA$1248,23,0)</f>
        <v>#N/A</v>
      </c>
      <c r="CF32" s="7" t="e">
        <f>VLOOKUP(C32,[3]listaBolsa!$D$2:$BA$1248,29,0)</f>
        <v>#N/A</v>
      </c>
      <c r="CG32" s="7" t="e">
        <f>VLOOKUP(C32,[3]listaBolsa!$D$2:$BA$1248,36,0)</f>
        <v>#N/A</v>
      </c>
      <c r="CH32" s="7" t="e">
        <f>VLOOKUP(C32,[3]listaBolsa!$D$2:$BA$1248,40,0)</f>
        <v>#N/A</v>
      </c>
      <c r="CI32" s="7" t="e">
        <f>VLOOKUP(C32,[3]listaBolsa!$D$2:$BA$1248,48,0)</f>
        <v>#N/A</v>
      </c>
      <c r="CJ32" s="7" t="e">
        <f t="shared" si="1"/>
        <v>#N/A</v>
      </c>
      <c r="CK32" s="7" t="e">
        <f t="shared" si="1"/>
        <v>#N/A</v>
      </c>
      <c r="CL32" s="7" t="e">
        <f t="shared" si="2"/>
        <v>#N/A</v>
      </c>
      <c r="CM32" s="7" t="e">
        <f t="shared" si="2"/>
        <v>#N/A</v>
      </c>
      <c r="CN32" s="7" t="e">
        <f t="shared" si="3"/>
        <v>#N/A</v>
      </c>
      <c r="CO32" s="7" t="e">
        <f t="shared" si="3"/>
        <v>#N/A</v>
      </c>
      <c r="CP32" s="7" t="e">
        <f t="shared" si="4"/>
        <v>#N/A</v>
      </c>
      <c r="CQ32" s="7" t="e">
        <f t="shared" si="4"/>
        <v>#N/A</v>
      </c>
      <c r="CR32" s="7" t="e">
        <f t="shared" si="5"/>
        <v>#N/A</v>
      </c>
    </row>
    <row r="33" spans="1:96" s="7" customFormat="1" ht="117">
      <c r="A33" s="75">
        <f t="shared" si="0"/>
        <v>25</v>
      </c>
      <c r="B33" s="210" t="s">
        <v>1491</v>
      </c>
      <c r="C33" s="218" t="s">
        <v>1915</v>
      </c>
      <c r="D33" s="219" t="s">
        <v>1826</v>
      </c>
      <c r="E33" s="211" t="s">
        <v>185</v>
      </c>
      <c r="F33" s="207">
        <v>1</v>
      </c>
      <c r="G33" s="205" t="s">
        <v>186</v>
      </c>
      <c r="H33" s="289" t="s">
        <v>1666</v>
      </c>
      <c r="I33" s="290" t="s">
        <v>1764</v>
      </c>
      <c r="J33" s="290" t="s">
        <v>256</v>
      </c>
      <c r="K33" s="290" t="s">
        <v>1765</v>
      </c>
      <c r="L33" s="290" t="s">
        <v>1766</v>
      </c>
      <c r="M33" s="290" t="s">
        <v>1765</v>
      </c>
      <c r="N33" s="291" t="s">
        <v>1670</v>
      </c>
      <c r="O33" s="291" t="s">
        <v>1767</v>
      </c>
      <c r="P33" s="291" t="s">
        <v>256</v>
      </c>
      <c r="Q33" s="291" t="s">
        <v>1767</v>
      </c>
      <c r="R33" s="291" t="s">
        <v>1770</v>
      </c>
      <c r="S33" s="291" t="s">
        <v>1893</v>
      </c>
      <c r="T33" s="292" t="s">
        <v>1674</v>
      </c>
      <c r="U33" s="292" t="s">
        <v>1909</v>
      </c>
      <c r="V33" s="292" t="s">
        <v>256</v>
      </c>
      <c r="W33" s="292" t="s">
        <v>1909</v>
      </c>
      <c r="X33" s="292" t="s">
        <v>1910</v>
      </c>
      <c r="Y33" s="292" t="s">
        <v>1911</v>
      </c>
      <c r="Z33" s="293" t="s">
        <v>1912</v>
      </c>
      <c r="AA33" s="293" t="s">
        <v>1913</v>
      </c>
      <c r="AB33" s="293" t="s">
        <v>1914</v>
      </c>
      <c r="AC33" s="294">
        <v>0.1996</v>
      </c>
      <c r="AD33" s="5"/>
      <c r="AF33" s="7" t="e">
        <f>IF(C33="","",VLOOKUP(C33,[3]listaBolsa!$D$2:$BB$276,51,0))</f>
        <v>#N/A</v>
      </c>
      <c r="BG33" s="7">
        <v>25</v>
      </c>
      <c r="CA33" s="7" t="e">
        <f>VLOOKUP(C33,[3]listaBolsa!$D$2:$BA$1248,1,0)</f>
        <v>#N/A</v>
      </c>
      <c r="CB33" s="7" t="e">
        <f>VLOOKUP(C33,[3]listaBolsa!$D$2:$BA$1248,2,0)</f>
        <v>#N/A</v>
      </c>
      <c r="CC33" s="7" t="e">
        <f>VLOOKUP(C33,[3]listaBolsa!$D$2:$BA$1248,10,0)</f>
        <v>#N/A</v>
      </c>
      <c r="CD33" s="7" t="e">
        <f>VLOOKUP(C33,[3]listaBolsa!$D$2:$BA$1248,14,0)</f>
        <v>#N/A</v>
      </c>
      <c r="CE33" s="7" t="e">
        <f>VLOOKUP(C33,[3]listaBolsa!$D$2:$BA$1248,23,0)</f>
        <v>#N/A</v>
      </c>
      <c r="CF33" s="7" t="e">
        <f>VLOOKUP(C33,[3]listaBolsa!$D$2:$BA$1248,29,0)</f>
        <v>#N/A</v>
      </c>
      <c r="CG33" s="7" t="e">
        <f>VLOOKUP(C33,[3]listaBolsa!$D$2:$BA$1248,36,0)</f>
        <v>#N/A</v>
      </c>
      <c r="CH33" s="7" t="e">
        <f>VLOOKUP(C33,[3]listaBolsa!$D$2:$BA$1248,40,0)</f>
        <v>#N/A</v>
      </c>
      <c r="CI33" s="7" t="e">
        <f>VLOOKUP(C33,[3]listaBolsa!$D$2:$BA$1248,48,0)</f>
        <v>#N/A</v>
      </c>
      <c r="CJ33" s="7" t="e">
        <f t="shared" si="1"/>
        <v>#N/A</v>
      </c>
      <c r="CK33" s="7" t="e">
        <f t="shared" si="1"/>
        <v>#N/A</v>
      </c>
      <c r="CL33" s="7" t="e">
        <f t="shared" si="2"/>
        <v>#N/A</v>
      </c>
      <c r="CM33" s="7" t="e">
        <f t="shared" si="2"/>
        <v>#N/A</v>
      </c>
      <c r="CN33" s="7" t="e">
        <f t="shared" si="3"/>
        <v>#N/A</v>
      </c>
      <c r="CO33" s="7" t="e">
        <f t="shared" si="3"/>
        <v>#N/A</v>
      </c>
      <c r="CP33" s="7" t="e">
        <f t="shared" si="4"/>
        <v>#N/A</v>
      </c>
      <c r="CQ33" s="7" t="e">
        <f t="shared" si="4"/>
        <v>#N/A</v>
      </c>
      <c r="CR33" s="7" t="e">
        <f t="shared" si="5"/>
        <v>#N/A</v>
      </c>
    </row>
    <row r="34" spans="1:96" s="7" customFormat="1" ht="117">
      <c r="A34" s="75">
        <f t="shared" si="0"/>
        <v>26</v>
      </c>
      <c r="B34" s="210" t="s">
        <v>1491</v>
      </c>
      <c r="C34" s="218" t="s">
        <v>1916</v>
      </c>
      <c r="D34" s="219" t="s">
        <v>1826</v>
      </c>
      <c r="E34" s="211" t="s">
        <v>185</v>
      </c>
      <c r="F34" s="207">
        <v>1</v>
      </c>
      <c r="G34" s="205" t="s">
        <v>186</v>
      </c>
      <c r="H34" s="283" t="s">
        <v>1666</v>
      </c>
      <c r="I34" s="284" t="s">
        <v>1917</v>
      </c>
      <c r="J34" s="284" t="s">
        <v>1918</v>
      </c>
      <c r="K34" s="284" t="s">
        <v>1919</v>
      </c>
      <c r="L34" s="284" t="s">
        <v>1920</v>
      </c>
      <c r="M34" s="284" t="s">
        <v>1919</v>
      </c>
      <c r="N34" s="285" t="s">
        <v>1670</v>
      </c>
      <c r="O34" s="285" t="s">
        <v>1921</v>
      </c>
      <c r="P34" s="285" t="s">
        <v>1922</v>
      </c>
      <c r="Q34" s="285" t="s">
        <v>1923</v>
      </c>
      <c r="R34" s="285" t="s">
        <v>1924</v>
      </c>
      <c r="S34" s="285" t="s">
        <v>1925</v>
      </c>
      <c r="T34" s="286" t="s">
        <v>1674</v>
      </c>
      <c r="U34" s="286" t="s">
        <v>1926</v>
      </c>
      <c r="V34" s="286" t="s">
        <v>1927</v>
      </c>
      <c r="W34" s="286" t="s">
        <v>1928</v>
      </c>
      <c r="X34" s="286" t="s">
        <v>1929</v>
      </c>
      <c r="Y34" s="286" t="s">
        <v>1930</v>
      </c>
      <c r="Z34" s="287" t="s">
        <v>1931</v>
      </c>
      <c r="AA34" s="287" t="s">
        <v>1932</v>
      </c>
      <c r="AB34" s="287" t="s">
        <v>1933</v>
      </c>
      <c r="AC34" s="288">
        <v>0.18429999999999999</v>
      </c>
      <c r="AD34" s="5"/>
      <c r="AF34" s="7" t="e">
        <f>IF(C34="","",VLOOKUP(C34,[3]listaBolsa!$D$2:$BB$276,51,0))</f>
        <v>#N/A</v>
      </c>
      <c r="BG34" s="7">
        <v>26</v>
      </c>
      <c r="CA34" s="7" t="e">
        <f>VLOOKUP(C34,[3]listaBolsa!$D$2:$BA$1248,1,0)</f>
        <v>#N/A</v>
      </c>
      <c r="CB34" s="7" t="e">
        <f>VLOOKUP(C34,[3]listaBolsa!$D$2:$BA$1248,2,0)</f>
        <v>#N/A</v>
      </c>
      <c r="CC34" s="7" t="e">
        <f>VLOOKUP(C34,[3]listaBolsa!$D$2:$BA$1248,10,0)</f>
        <v>#N/A</v>
      </c>
      <c r="CD34" s="7" t="e">
        <f>VLOOKUP(C34,[3]listaBolsa!$D$2:$BA$1248,14,0)</f>
        <v>#N/A</v>
      </c>
      <c r="CE34" s="7" t="e">
        <f>VLOOKUP(C34,[3]listaBolsa!$D$2:$BA$1248,23,0)</f>
        <v>#N/A</v>
      </c>
      <c r="CF34" s="7" t="e">
        <f>VLOOKUP(C34,[3]listaBolsa!$D$2:$BA$1248,29,0)</f>
        <v>#N/A</v>
      </c>
      <c r="CG34" s="7" t="e">
        <f>VLOOKUP(C34,[3]listaBolsa!$D$2:$BA$1248,36,0)</f>
        <v>#N/A</v>
      </c>
      <c r="CH34" s="7" t="e">
        <f>VLOOKUP(C34,[3]listaBolsa!$D$2:$BA$1248,40,0)</f>
        <v>#N/A</v>
      </c>
      <c r="CI34" s="7" t="e">
        <f>VLOOKUP(C34,[3]listaBolsa!$D$2:$BA$1248,48,0)</f>
        <v>#N/A</v>
      </c>
      <c r="CJ34" s="7" t="e">
        <f t="shared" si="1"/>
        <v>#N/A</v>
      </c>
      <c r="CK34" s="7" t="e">
        <f t="shared" si="1"/>
        <v>#N/A</v>
      </c>
      <c r="CL34" s="7" t="e">
        <f t="shared" si="2"/>
        <v>#N/A</v>
      </c>
      <c r="CM34" s="7" t="e">
        <f t="shared" si="2"/>
        <v>#N/A</v>
      </c>
      <c r="CN34" s="7" t="e">
        <f t="shared" si="3"/>
        <v>#N/A</v>
      </c>
      <c r="CO34" s="7" t="e">
        <f t="shared" si="3"/>
        <v>#N/A</v>
      </c>
      <c r="CP34" s="7" t="e">
        <f t="shared" si="4"/>
        <v>#N/A</v>
      </c>
      <c r="CQ34" s="7" t="e">
        <f t="shared" si="4"/>
        <v>#N/A</v>
      </c>
      <c r="CR34" s="7" t="e">
        <f t="shared" si="5"/>
        <v>#N/A</v>
      </c>
    </row>
    <row r="35" spans="1:96" s="7" customFormat="1" ht="117">
      <c r="A35" s="75">
        <f t="shared" si="0"/>
        <v>27</v>
      </c>
      <c r="B35" s="210" t="s">
        <v>1491</v>
      </c>
      <c r="C35" s="218" t="s">
        <v>1934</v>
      </c>
      <c r="D35" s="219" t="s">
        <v>1826</v>
      </c>
      <c r="E35" s="211" t="s">
        <v>185</v>
      </c>
      <c r="F35" s="207">
        <v>1</v>
      </c>
      <c r="G35" s="205" t="s">
        <v>186</v>
      </c>
      <c r="H35" s="289" t="s">
        <v>1666</v>
      </c>
      <c r="I35" s="290" t="s">
        <v>1935</v>
      </c>
      <c r="J35" s="290" t="s">
        <v>256</v>
      </c>
      <c r="K35" s="290" t="s">
        <v>1936</v>
      </c>
      <c r="L35" s="290" t="s">
        <v>1937</v>
      </c>
      <c r="M35" s="290" t="s">
        <v>1936</v>
      </c>
      <c r="N35" s="291" t="s">
        <v>1670</v>
      </c>
      <c r="O35" s="291" t="s">
        <v>1921</v>
      </c>
      <c r="P35" s="291" t="s">
        <v>256</v>
      </c>
      <c r="Q35" s="291" t="s">
        <v>1921</v>
      </c>
      <c r="R35" s="291" t="s">
        <v>1924</v>
      </c>
      <c r="S35" s="291" t="s">
        <v>1938</v>
      </c>
      <c r="T35" s="292" t="s">
        <v>1674</v>
      </c>
      <c r="U35" s="292" t="s">
        <v>1926</v>
      </c>
      <c r="V35" s="292" t="s">
        <v>256</v>
      </c>
      <c r="W35" s="292" t="s">
        <v>1926</v>
      </c>
      <c r="X35" s="292" t="s">
        <v>1929</v>
      </c>
      <c r="Y35" s="292" t="s">
        <v>1939</v>
      </c>
      <c r="Z35" s="293" t="s">
        <v>1940</v>
      </c>
      <c r="AA35" s="293" t="s">
        <v>1941</v>
      </c>
      <c r="AB35" s="293" t="s">
        <v>1942</v>
      </c>
      <c r="AC35" s="294">
        <v>0.13059999999999999</v>
      </c>
      <c r="AD35" s="5"/>
      <c r="AF35" s="7" t="e">
        <f>IF(C35="","",VLOOKUP(C35,[3]listaBolsa!$D$2:$BB$276,51,0))</f>
        <v>#N/A</v>
      </c>
      <c r="BG35" s="7">
        <v>27</v>
      </c>
      <c r="CA35" s="7" t="e">
        <f>VLOOKUP(C35,[3]listaBolsa!$D$2:$BA$1248,1,0)</f>
        <v>#N/A</v>
      </c>
      <c r="CB35" s="7" t="e">
        <f>VLOOKUP(C35,[3]listaBolsa!$D$2:$BA$1248,2,0)</f>
        <v>#N/A</v>
      </c>
      <c r="CC35" s="7" t="e">
        <f>VLOOKUP(C35,[3]listaBolsa!$D$2:$BA$1248,10,0)</f>
        <v>#N/A</v>
      </c>
      <c r="CD35" s="7" t="e">
        <f>VLOOKUP(C35,[3]listaBolsa!$D$2:$BA$1248,14,0)</f>
        <v>#N/A</v>
      </c>
      <c r="CE35" s="7" t="e">
        <f>VLOOKUP(C35,[3]listaBolsa!$D$2:$BA$1248,23,0)</f>
        <v>#N/A</v>
      </c>
      <c r="CF35" s="7" t="e">
        <f>VLOOKUP(C35,[3]listaBolsa!$D$2:$BA$1248,29,0)</f>
        <v>#N/A</v>
      </c>
      <c r="CG35" s="7" t="e">
        <f>VLOOKUP(C35,[3]listaBolsa!$D$2:$BA$1248,36,0)</f>
        <v>#N/A</v>
      </c>
      <c r="CH35" s="7" t="e">
        <f>VLOOKUP(C35,[3]listaBolsa!$D$2:$BA$1248,40,0)</f>
        <v>#N/A</v>
      </c>
      <c r="CI35" s="7" t="e">
        <f>VLOOKUP(C35,[3]listaBolsa!$D$2:$BA$1248,48,0)</f>
        <v>#N/A</v>
      </c>
      <c r="CJ35" s="7" t="e">
        <f t="shared" si="1"/>
        <v>#N/A</v>
      </c>
      <c r="CK35" s="7" t="e">
        <f t="shared" si="1"/>
        <v>#N/A</v>
      </c>
      <c r="CL35" s="7" t="e">
        <f t="shared" si="2"/>
        <v>#N/A</v>
      </c>
      <c r="CM35" s="7" t="e">
        <f t="shared" si="2"/>
        <v>#N/A</v>
      </c>
      <c r="CN35" s="7" t="e">
        <f t="shared" si="3"/>
        <v>#N/A</v>
      </c>
      <c r="CO35" s="7" t="e">
        <f t="shared" si="3"/>
        <v>#N/A</v>
      </c>
      <c r="CP35" s="7" t="e">
        <f t="shared" si="4"/>
        <v>#N/A</v>
      </c>
      <c r="CQ35" s="7" t="e">
        <f t="shared" si="4"/>
        <v>#N/A</v>
      </c>
      <c r="CR35" s="7" t="e">
        <f t="shared" si="5"/>
        <v>#N/A</v>
      </c>
    </row>
    <row r="36" spans="1:96" s="7" customFormat="1" ht="117">
      <c r="A36" s="75">
        <f t="shared" si="0"/>
        <v>28</v>
      </c>
      <c r="B36" s="210" t="s">
        <v>1491</v>
      </c>
      <c r="C36" s="218" t="s">
        <v>1943</v>
      </c>
      <c r="D36" s="219" t="s">
        <v>1826</v>
      </c>
      <c r="E36" s="211" t="s">
        <v>185</v>
      </c>
      <c r="F36" s="207">
        <v>1</v>
      </c>
      <c r="G36" s="205" t="s">
        <v>186</v>
      </c>
      <c r="H36" s="289" t="s">
        <v>1666</v>
      </c>
      <c r="I36" s="290" t="s">
        <v>1847</v>
      </c>
      <c r="J36" s="290" t="s">
        <v>256</v>
      </c>
      <c r="K36" s="290" t="s">
        <v>1848</v>
      </c>
      <c r="L36" s="290" t="s">
        <v>1849</v>
      </c>
      <c r="M36" s="290" t="s">
        <v>1848</v>
      </c>
      <c r="N36" s="291" t="s">
        <v>1670</v>
      </c>
      <c r="O36" s="291" t="s">
        <v>1853</v>
      </c>
      <c r="P36" s="291" t="s">
        <v>256</v>
      </c>
      <c r="Q36" s="291" t="s">
        <v>1853</v>
      </c>
      <c r="R36" s="291" t="s">
        <v>1854</v>
      </c>
      <c r="S36" s="291" t="s">
        <v>1855</v>
      </c>
      <c r="T36" s="292" t="s">
        <v>1674</v>
      </c>
      <c r="U36" s="292" t="s">
        <v>1850</v>
      </c>
      <c r="V36" s="292" t="s">
        <v>256</v>
      </c>
      <c r="W36" s="292" t="s">
        <v>1850</v>
      </c>
      <c r="X36" s="292" t="s">
        <v>1851</v>
      </c>
      <c r="Y36" s="292" t="s">
        <v>1852</v>
      </c>
      <c r="Z36" s="293" t="s">
        <v>1856</v>
      </c>
      <c r="AA36" s="293" t="s">
        <v>1857</v>
      </c>
      <c r="AB36" s="293" t="s">
        <v>1858</v>
      </c>
      <c r="AC36" s="294">
        <v>0.1288</v>
      </c>
      <c r="AD36" s="5"/>
      <c r="AF36" s="7" t="e">
        <f>IF(C36="","",VLOOKUP(C36,[3]listaBolsa!$D$2:$BB$276,51,0))</f>
        <v>#N/A</v>
      </c>
      <c r="BG36" s="7">
        <v>28</v>
      </c>
      <c r="CA36" s="7" t="e">
        <f>VLOOKUP(C36,[3]listaBolsa!$D$2:$BA$1248,1,0)</f>
        <v>#N/A</v>
      </c>
      <c r="CB36" s="7" t="e">
        <f>VLOOKUP(C36,[3]listaBolsa!$D$2:$BA$1248,2,0)</f>
        <v>#N/A</v>
      </c>
      <c r="CC36" s="7" t="e">
        <f>VLOOKUP(C36,[3]listaBolsa!$D$2:$BA$1248,10,0)</f>
        <v>#N/A</v>
      </c>
      <c r="CD36" s="7" t="e">
        <f>VLOOKUP(C36,[3]listaBolsa!$D$2:$BA$1248,14,0)</f>
        <v>#N/A</v>
      </c>
      <c r="CE36" s="7" t="e">
        <f>VLOOKUP(C36,[3]listaBolsa!$D$2:$BA$1248,23,0)</f>
        <v>#N/A</v>
      </c>
      <c r="CF36" s="7" t="e">
        <f>VLOOKUP(C36,[3]listaBolsa!$D$2:$BA$1248,29,0)</f>
        <v>#N/A</v>
      </c>
      <c r="CG36" s="7" t="e">
        <f>VLOOKUP(C36,[3]listaBolsa!$D$2:$BA$1248,36,0)</f>
        <v>#N/A</v>
      </c>
      <c r="CH36" s="7" t="e">
        <f>VLOOKUP(C36,[3]listaBolsa!$D$2:$BA$1248,40,0)</f>
        <v>#N/A</v>
      </c>
      <c r="CI36" s="7" t="e">
        <f>VLOOKUP(C36,[3]listaBolsa!$D$2:$BA$1248,48,0)</f>
        <v>#N/A</v>
      </c>
      <c r="CJ36" s="7" t="e">
        <f t="shared" si="1"/>
        <v>#N/A</v>
      </c>
      <c r="CK36" s="7" t="e">
        <f t="shared" si="1"/>
        <v>#N/A</v>
      </c>
      <c r="CL36" s="7" t="e">
        <f t="shared" si="2"/>
        <v>#N/A</v>
      </c>
      <c r="CM36" s="7" t="e">
        <f t="shared" si="2"/>
        <v>#N/A</v>
      </c>
      <c r="CN36" s="7" t="e">
        <f t="shared" si="3"/>
        <v>#N/A</v>
      </c>
      <c r="CO36" s="7" t="e">
        <f t="shared" si="3"/>
        <v>#N/A</v>
      </c>
      <c r="CP36" s="7" t="e">
        <f t="shared" si="4"/>
        <v>#N/A</v>
      </c>
      <c r="CQ36" s="7" t="e">
        <f t="shared" si="4"/>
        <v>#N/A</v>
      </c>
      <c r="CR36" s="7" t="e">
        <f t="shared" si="5"/>
        <v>#N/A</v>
      </c>
    </row>
    <row r="37" spans="1:96" s="7" customFormat="1" ht="117">
      <c r="A37" s="75">
        <f t="shared" si="0"/>
        <v>29</v>
      </c>
      <c r="B37" s="210" t="s">
        <v>1491</v>
      </c>
      <c r="C37" s="218" t="s">
        <v>1944</v>
      </c>
      <c r="D37" s="219" t="s">
        <v>1826</v>
      </c>
      <c r="E37" s="211" t="s">
        <v>185</v>
      </c>
      <c r="F37" s="207">
        <v>1</v>
      </c>
      <c r="G37" s="205" t="s">
        <v>186</v>
      </c>
      <c r="H37" s="289" t="s">
        <v>1746</v>
      </c>
      <c r="I37" s="290" t="s">
        <v>1747</v>
      </c>
      <c r="J37" s="290" t="s">
        <v>256</v>
      </c>
      <c r="K37" s="290" t="s">
        <v>1748</v>
      </c>
      <c r="L37" s="290" t="s">
        <v>1749</v>
      </c>
      <c r="M37" s="290" t="s">
        <v>1748</v>
      </c>
      <c r="N37" s="291" t="s">
        <v>1750</v>
      </c>
      <c r="O37" s="291" t="s">
        <v>1751</v>
      </c>
      <c r="P37" s="291" t="s">
        <v>256</v>
      </c>
      <c r="Q37" s="291" t="s">
        <v>1751</v>
      </c>
      <c r="R37" s="291" t="s">
        <v>1754</v>
      </c>
      <c r="S37" s="291" t="s">
        <v>1827</v>
      </c>
      <c r="T37" s="292" t="s">
        <v>1756</v>
      </c>
      <c r="U37" s="292" t="s">
        <v>1757</v>
      </c>
      <c r="V37" s="292" t="s">
        <v>256</v>
      </c>
      <c r="W37" s="292" t="s">
        <v>1757</v>
      </c>
      <c r="X37" s="292" t="s">
        <v>1758</v>
      </c>
      <c r="Y37" s="292" t="s">
        <v>1759</v>
      </c>
      <c r="Z37" s="293" t="s">
        <v>1945</v>
      </c>
      <c r="AA37" s="293" t="s">
        <v>1946</v>
      </c>
      <c r="AB37" s="293" t="s">
        <v>1947</v>
      </c>
      <c r="AC37" s="294">
        <v>0.2</v>
      </c>
      <c r="AD37" s="5"/>
      <c r="AF37" s="7" t="e">
        <f>IF(C37="","",VLOOKUP(C37,[3]listaBolsa!$D$2:$BB$276,51,0))</f>
        <v>#N/A</v>
      </c>
      <c r="BG37" s="7">
        <v>29</v>
      </c>
      <c r="CA37" s="7" t="e">
        <f>VLOOKUP(C37,[3]listaBolsa!$D$2:$BA$1248,1,0)</f>
        <v>#N/A</v>
      </c>
      <c r="CB37" s="7" t="e">
        <f>VLOOKUP(C37,[3]listaBolsa!$D$2:$BA$1248,2,0)</f>
        <v>#N/A</v>
      </c>
      <c r="CC37" s="7" t="e">
        <f>VLOOKUP(C37,[3]listaBolsa!$D$2:$BA$1248,10,0)</f>
        <v>#N/A</v>
      </c>
      <c r="CD37" s="7" t="e">
        <f>VLOOKUP(C37,[3]listaBolsa!$D$2:$BA$1248,14,0)</f>
        <v>#N/A</v>
      </c>
      <c r="CE37" s="7" t="e">
        <f>VLOOKUP(C37,[3]listaBolsa!$D$2:$BA$1248,23,0)</f>
        <v>#N/A</v>
      </c>
      <c r="CF37" s="7" t="e">
        <f>VLOOKUP(C37,[3]listaBolsa!$D$2:$BA$1248,29,0)</f>
        <v>#N/A</v>
      </c>
      <c r="CG37" s="7" t="e">
        <f>VLOOKUP(C37,[3]listaBolsa!$D$2:$BA$1248,36,0)</f>
        <v>#N/A</v>
      </c>
      <c r="CH37" s="7" t="e">
        <f>VLOOKUP(C37,[3]listaBolsa!$D$2:$BA$1248,40,0)</f>
        <v>#N/A</v>
      </c>
      <c r="CI37" s="7" t="e">
        <f>VLOOKUP(C37,[3]listaBolsa!$D$2:$BA$1248,48,0)</f>
        <v>#N/A</v>
      </c>
      <c r="CJ37" s="7" t="e">
        <f t="shared" si="1"/>
        <v>#N/A</v>
      </c>
      <c r="CK37" s="7" t="e">
        <f t="shared" si="1"/>
        <v>#N/A</v>
      </c>
      <c r="CL37" s="7" t="e">
        <f t="shared" si="2"/>
        <v>#N/A</v>
      </c>
      <c r="CM37" s="7" t="e">
        <f t="shared" si="2"/>
        <v>#N/A</v>
      </c>
      <c r="CN37" s="7" t="e">
        <f t="shared" si="3"/>
        <v>#N/A</v>
      </c>
      <c r="CO37" s="7" t="e">
        <f t="shared" si="3"/>
        <v>#N/A</v>
      </c>
      <c r="CP37" s="7" t="e">
        <f t="shared" si="4"/>
        <v>#N/A</v>
      </c>
      <c r="CQ37" s="7" t="e">
        <f t="shared" si="4"/>
        <v>#N/A</v>
      </c>
      <c r="CR37" s="7" t="e">
        <f t="shared" si="5"/>
        <v>#N/A</v>
      </c>
    </row>
    <row r="38" spans="1:96" s="7" customFormat="1" ht="117">
      <c r="A38" s="75">
        <f t="shared" si="0"/>
        <v>30</v>
      </c>
      <c r="B38" s="210" t="s">
        <v>1491</v>
      </c>
      <c r="C38" s="218" t="s">
        <v>1948</v>
      </c>
      <c r="D38" s="219" t="s">
        <v>1826</v>
      </c>
      <c r="E38" s="211" t="s">
        <v>185</v>
      </c>
      <c r="F38" s="207">
        <v>1</v>
      </c>
      <c r="G38" s="205" t="s">
        <v>186</v>
      </c>
      <c r="H38" s="289" t="s">
        <v>1666</v>
      </c>
      <c r="I38" s="290" t="s">
        <v>1949</v>
      </c>
      <c r="J38" s="290" t="s">
        <v>256</v>
      </c>
      <c r="K38" s="290" t="s">
        <v>1950</v>
      </c>
      <c r="L38" s="290" t="s">
        <v>1951</v>
      </c>
      <c r="M38" s="290" t="s">
        <v>1950</v>
      </c>
      <c r="N38" s="291" t="s">
        <v>1670</v>
      </c>
      <c r="O38" s="291" t="s">
        <v>1952</v>
      </c>
      <c r="P38" s="291" t="s">
        <v>256</v>
      </c>
      <c r="Q38" s="291" t="s">
        <v>1952</v>
      </c>
      <c r="R38" s="291" t="s">
        <v>1953</v>
      </c>
      <c r="S38" s="291" t="s">
        <v>1954</v>
      </c>
      <c r="T38" s="292" t="s">
        <v>1674</v>
      </c>
      <c r="U38" s="292" t="s">
        <v>1955</v>
      </c>
      <c r="V38" s="292" t="s">
        <v>256</v>
      </c>
      <c r="W38" s="292" t="s">
        <v>1955</v>
      </c>
      <c r="X38" s="292" t="s">
        <v>1956</v>
      </c>
      <c r="Y38" s="292" t="s">
        <v>1957</v>
      </c>
      <c r="Z38" s="293" t="s">
        <v>1958</v>
      </c>
      <c r="AA38" s="293" t="s">
        <v>1959</v>
      </c>
      <c r="AB38" s="293" t="s">
        <v>1960</v>
      </c>
      <c r="AC38" s="294">
        <v>4.2700000000000002E-2</v>
      </c>
      <c r="AD38" s="5"/>
      <c r="AF38" s="7" t="e">
        <f>IF(C38="","",VLOOKUP(C38,[3]listaBolsa!$D$2:$BB$276,51,0))</f>
        <v>#N/A</v>
      </c>
      <c r="BG38" s="7">
        <v>30</v>
      </c>
      <c r="CA38" s="7" t="e">
        <f>VLOOKUP(C38,[3]listaBolsa!$D$2:$BA$1248,1,0)</f>
        <v>#N/A</v>
      </c>
      <c r="CB38" s="7" t="e">
        <f>VLOOKUP(C38,[3]listaBolsa!$D$2:$BA$1248,2,0)</f>
        <v>#N/A</v>
      </c>
      <c r="CC38" s="7" t="e">
        <f>VLOOKUP(C38,[3]listaBolsa!$D$2:$BA$1248,10,0)</f>
        <v>#N/A</v>
      </c>
      <c r="CD38" s="7" t="e">
        <f>VLOOKUP(C38,[3]listaBolsa!$D$2:$BA$1248,14,0)</f>
        <v>#N/A</v>
      </c>
      <c r="CE38" s="7" t="e">
        <f>VLOOKUP(C38,[3]listaBolsa!$D$2:$BA$1248,23,0)</f>
        <v>#N/A</v>
      </c>
      <c r="CF38" s="7" t="e">
        <f>VLOOKUP(C38,[3]listaBolsa!$D$2:$BA$1248,29,0)</f>
        <v>#N/A</v>
      </c>
      <c r="CG38" s="7" t="e">
        <f>VLOOKUP(C38,[3]listaBolsa!$D$2:$BA$1248,36,0)</f>
        <v>#N/A</v>
      </c>
      <c r="CH38" s="7" t="e">
        <f>VLOOKUP(C38,[3]listaBolsa!$D$2:$BA$1248,40,0)</f>
        <v>#N/A</v>
      </c>
      <c r="CI38" s="7" t="e">
        <f>VLOOKUP(C38,[3]listaBolsa!$D$2:$BA$1248,48,0)</f>
        <v>#N/A</v>
      </c>
      <c r="CJ38" s="7" t="e">
        <f t="shared" si="1"/>
        <v>#N/A</v>
      </c>
      <c r="CK38" s="7" t="e">
        <f t="shared" si="1"/>
        <v>#N/A</v>
      </c>
      <c r="CL38" s="7" t="e">
        <f t="shared" si="2"/>
        <v>#N/A</v>
      </c>
      <c r="CM38" s="7" t="e">
        <f t="shared" si="2"/>
        <v>#N/A</v>
      </c>
      <c r="CN38" s="7" t="e">
        <f t="shared" si="3"/>
        <v>#N/A</v>
      </c>
      <c r="CO38" s="7" t="e">
        <f t="shared" si="3"/>
        <v>#N/A</v>
      </c>
      <c r="CP38" s="7" t="e">
        <f t="shared" si="4"/>
        <v>#N/A</v>
      </c>
      <c r="CQ38" s="7" t="e">
        <f t="shared" si="4"/>
        <v>#N/A</v>
      </c>
      <c r="CR38" s="7" t="e">
        <f t="shared" si="5"/>
        <v>#N/A</v>
      </c>
    </row>
    <row r="39" spans="1:96" s="7" customFormat="1" ht="117">
      <c r="A39" s="75">
        <f t="shared" si="0"/>
        <v>31</v>
      </c>
      <c r="B39" s="210" t="s">
        <v>1491</v>
      </c>
      <c r="C39" s="218" t="s">
        <v>1961</v>
      </c>
      <c r="D39" s="219" t="s">
        <v>1826</v>
      </c>
      <c r="E39" s="211" t="s">
        <v>185</v>
      </c>
      <c r="F39" s="207">
        <v>1</v>
      </c>
      <c r="G39" s="205" t="s">
        <v>186</v>
      </c>
      <c r="H39" s="289" t="s">
        <v>1666</v>
      </c>
      <c r="I39" s="290" t="s">
        <v>1764</v>
      </c>
      <c r="J39" s="290" t="s">
        <v>256</v>
      </c>
      <c r="K39" s="290" t="s">
        <v>1765</v>
      </c>
      <c r="L39" s="290" t="s">
        <v>1766</v>
      </c>
      <c r="M39" s="290" t="s">
        <v>1765</v>
      </c>
      <c r="N39" s="291" t="s">
        <v>1670</v>
      </c>
      <c r="O39" s="291" t="s">
        <v>1767</v>
      </c>
      <c r="P39" s="291" t="s">
        <v>256</v>
      </c>
      <c r="Q39" s="291" t="s">
        <v>1767</v>
      </c>
      <c r="R39" s="291" t="s">
        <v>1770</v>
      </c>
      <c r="S39" s="291" t="s">
        <v>1893</v>
      </c>
      <c r="T39" s="292" t="s">
        <v>1674</v>
      </c>
      <c r="U39" s="292" t="s">
        <v>1909</v>
      </c>
      <c r="V39" s="292" t="s">
        <v>256</v>
      </c>
      <c r="W39" s="292" t="s">
        <v>1909</v>
      </c>
      <c r="X39" s="292" t="s">
        <v>1910</v>
      </c>
      <c r="Y39" s="292" t="s">
        <v>1911</v>
      </c>
      <c r="Z39" s="293" t="s">
        <v>1912</v>
      </c>
      <c r="AA39" s="293" t="s">
        <v>1913</v>
      </c>
      <c r="AB39" s="293" t="s">
        <v>1914</v>
      </c>
      <c r="AC39" s="294">
        <v>0.1996</v>
      </c>
      <c r="AD39" s="5"/>
      <c r="AF39" s="7" t="e">
        <f>IF(C39="","",VLOOKUP(C39,[3]listaBolsa!$D$2:$BB$276,51,0))</f>
        <v>#N/A</v>
      </c>
      <c r="BG39" s="7">
        <v>31</v>
      </c>
      <c r="CA39" s="7" t="e">
        <f>VLOOKUP(C39,[3]listaBolsa!$D$2:$BA$1248,1,0)</f>
        <v>#N/A</v>
      </c>
      <c r="CB39" s="7" t="e">
        <f>VLOOKUP(C39,[3]listaBolsa!$D$2:$BA$1248,2,0)</f>
        <v>#N/A</v>
      </c>
      <c r="CC39" s="7" t="e">
        <f>VLOOKUP(C39,[3]listaBolsa!$D$2:$BA$1248,10,0)</f>
        <v>#N/A</v>
      </c>
      <c r="CD39" s="7" t="e">
        <f>VLOOKUP(C39,[3]listaBolsa!$D$2:$BA$1248,14,0)</f>
        <v>#N/A</v>
      </c>
      <c r="CE39" s="7" t="e">
        <f>VLOOKUP(C39,[3]listaBolsa!$D$2:$BA$1248,23,0)</f>
        <v>#N/A</v>
      </c>
      <c r="CF39" s="7" t="e">
        <f>VLOOKUP(C39,[3]listaBolsa!$D$2:$BA$1248,29,0)</f>
        <v>#N/A</v>
      </c>
      <c r="CG39" s="7" t="e">
        <f>VLOOKUP(C39,[3]listaBolsa!$D$2:$BA$1248,36,0)</f>
        <v>#N/A</v>
      </c>
      <c r="CH39" s="7" t="e">
        <f>VLOOKUP(C39,[3]listaBolsa!$D$2:$BA$1248,40,0)</f>
        <v>#N/A</v>
      </c>
      <c r="CI39" s="7" t="e">
        <f>VLOOKUP(C39,[3]listaBolsa!$D$2:$BA$1248,48,0)</f>
        <v>#N/A</v>
      </c>
      <c r="CJ39" s="7" t="e">
        <f t="shared" si="1"/>
        <v>#N/A</v>
      </c>
      <c r="CK39" s="7" t="e">
        <f t="shared" si="1"/>
        <v>#N/A</v>
      </c>
      <c r="CL39" s="7" t="e">
        <f t="shared" si="2"/>
        <v>#N/A</v>
      </c>
      <c r="CM39" s="7" t="e">
        <f t="shared" si="2"/>
        <v>#N/A</v>
      </c>
      <c r="CN39" s="7" t="e">
        <f t="shared" si="3"/>
        <v>#N/A</v>
      </c>
      <c r="CO39" s="7" t="e">
        <f t="shared" si="3"/>
        <v>#N/A</v>
      </c>
      <c r="CP39" s="7" t="e">
        <f t="shared" si="4"/>
        <v>#N/A</v>
      </c>
      <c r="CQ39" s="7" t="e">
        <f t="shared" si="4"/>
        <v>#N/A</v>
      </c>
      <c r="CR39" s="7" t="e">
        <f t="shared" si="5"/>
        <v>#N/A</v>
      </c>
    </row>
    <row r="40" spans="1:96" s="7" customFormat="1" ht="117">
      <c r="A40" s="75">
        <f t="shared" si="0"/>
        <v>32</v>
      </c>
      <c r="B40" s="210" t="s">
        <v>1491</v>
      </c>
      <c r="C40" s="218" t="s">
        <v>1962</v>
      </c>
      <c r="D40" s="219" t="s">
        <v>1826</v>
      </c>
      <c r="E40" s="211" t="s">
        <v>185</v>
      </c>
      <c r="F40" s="207">
        <v>1</v>
      </c>
      <c r="G40" s="205" t="s">
        <v>186</v>
      </c>
      <c r="H40" s="289" t="s">
        <v>1666</v>
      </c>
      <c r="I40" s="290" t="s">
        <v>1963</v>
      </c>
      <c r="J40" s="290" t="s">
        <v>256</v>
      </c>
      <c r="K40" s="290" t="s">
        <v>1964</v>
      </c>
      <c r="L40" s="290" t="s">
        <v>1965</v>
      </c>
      <c r="M40" s="290" t="s">
        <v>1964</v>
      </c>
      <c r="N40" s="291" t="s">
        <v>1670</v>
      </c>
      <c r="O40" s="291" t="s">
        <v>1853</v>
      </c>
      <c r="P40" s="291" t="s">
        <v>256</v>
      </c>
      <c r="Q40" s="291" t="s">
        <v>1853</v>
      </c>
      <c r="R40" s="291" t="s">
        <v>1854</v>
      </c>
      <c r="S40" s="291" t="s">
        <v>1855</v>
      </c>
      <c r="T40" s="292" t="s">
        <v>1674</v>
      </c>
      <c r="U40" s="292" t="s">
        <v>1793</v>
      </c>
      <c r="V40" s="292" t="s">
        <v>256</v>
      </c>
      <c r="W40" s="292" t="s">
        <v>1793</v>
      </c>
      <c r="X40" s="292" t="s">
        <v>1794</v>
      </c>
      <c r="Y40" s="292" t="s">
        <v>1795</v>
      </c>
      <c r="Z40" s="293" t="s">
        <v>1966</v>
      </c>
      <c r="AA40" s="293" t="s">
        <v>1967</v>
      </c>
      <c r="AB40" s="293" t="s">
        <v>1968</v>
      </c>
      <c r="AC40" s="294">
        <v>0.19209999999999999</v>
      </c>
      <c r="AD40" s="5"/>
      <c r="AF40" s="7" t="e">
        <f>IF(C40="","",VLOOKUP(C40,[3]listaBolsa!$D$2:$BB$276,51,0))</f>
        <v>#N/A</v>
      </c>
      <c r="BG40" s="7">
        <v>32</v>
      </c>
      <c r="CA40" s="7" t="e">
        <f>VLOOKUP(C40,[3]listaBolsa!$D$2:$BA$1248,1,0)</f>
        <v>#N/A</v>
      </c>
      <c r="CB40" s="7" t="e">
        <f>VLOOKUP(C40,[3]listaBolsa!$D$2:$BA$1248,2,0)</f>
        <v>#N/A</v>
      </c>
      <c r="CC40" s="7" t="e">
        <f>VLOOKUP(C40,[3]listaBolsa!$D$2:$BA$1248,10,0)</f>
        <v>#N/A</v>
      </c>
      <c r="CD40" s="7" t="e">
        <f>VLOOKUP(C40,[3]listaBolsa!$D$2:$BA$1248,14,0)</f>
        <v>#N/A</v>
      </c>
      <c r="CE40" s="7" t="e">
        <f>VLOOKUP(C40,[3]listaBolsa!$D$2:$BA$1248,23,0)</f>
        <v>#N/A</v>
      </c>
      <c r="CF40" s="7" t="e">
        <f>VLOOKUP(C40,[3]listaBolsa!$D$2:$BA$1248,29,0)</f>
        <v>#N/A</v>
      </c>
      <c r="CG40" s="7" t="e">
        <f>VLOOKUP(C40,[3]listaBolsa!$D$2:$BA$1248,36,0)</f>
        <v>#N/A</v>
      </c>
      <c r="CH40" s="7" t="e">
        <f>VLOOKUP(C40,[3]listaBolsa!$D$2:$BA$1248,40,0)</f>
        <v>#N/A</v>
      </c>
      <c r="CI40" s="7" t="e">
        <f>VLOOKUP(C40,[3]listaBolsa!$D$2:$BA$1248,48,0)</f>
        <v>#N/A</v>
      </c>
      <c r="CJ40" s="7" t="e">
        <f t="shared" si="1"/>
        <v>#N/A</v>
      </c>
      <c r="CK40" s="7" t="e">
        <f t="shared" si="1"/>
        <v>#N/A</v>
      </c>
      <c r="CL40" s="7" t="e">
        <f t="shared" si="2"/>
        <v>#N/A</v>
      </c>
      <c r="CM40" s="7" t="e">
        <f t="shared" si="2"/>
        <v>#N/A</v>
      </c>
      <c r="CN40" s="7" t="e">
        <f t="shared" si="3"/>
        <v>#N/A</v>
      </c>
      <c r="CO40" s="7" t="e">
        <f t="shared" si="3"/>
        <v>#N/A</v>
      </c>
      <c r="CP40" s="7" t="e">
        <f t="shared" si="4"/>
        <v>#N/A</v>
      </c>
      <c r="CQ40" s="7" t="e">
        <f t="shared" si="4"/>
        <v>#N/A</v>
      </c>
      <c r="CR40" s="7" t="e">
        <f t="shared" si="5"/>
        <v>#N/A</v>
      </c>
    </row>
    <row r="41" spans="1:96" s="7" customFormat="1" ht="117">
      <c r="A41" s="75">
        <f t="shared" si="0"/>
        <v>33</v>
      </c>
      <c r="B41" s="210" t="s">
        <v>1491</v>
      </c>
      <c r="C41" s="218" t="s">
        <v>1969</v>
      </c>
      <c r="D41" s="219" t="s">
        <v>1826</v>
      </c>
      <c r="E41" s="211" t="s">
        <v>185</v>
      </c>
      <c r="F41" s="207">
        <v>1</v>
      </c>
      <c r="G41" s="205" t="s">
        <v>186</v>
      </c>
      <c r="H41" s="289" t="s">
        <v>1666</v>
      </c>
      <c r="I41" s="290" t="s">
        <v>1847</v>
      </c>
      <c r="J41" s="290" t="s">
        <v>256</v>
      </c>
      <c r="K41" s="290" t="s">
        <v>1848</v>
      </c>
      <c r="L41" s="290" t="s">
        <v>1849</v>
      </c>
      <c r="M41" s="290" t="s">
        <v>1848</v>
      </c>
      <c r="N41" s="291" t="s">
        <v>1670</v>
      </c>
      <c r="O41" s="291" t="s">
        <v>1853</v>
      </c>
      <c r="P41" s="291" t="s">
        <v>256</v>
      </c>
      <c r="Q41" s="291" t="s">
        <v>1853</v>
      </c>
      <c r="R41" s="291" t="s">
        <v>1854</v>
      </c>
      <c r="S41" s="291" t="s">
        <v>1855</v>
      </c>
      <c r="T41" s="292" t="s">
        <v>1674</v>
      </c>
      <c r="U41" s="292" t="s">
        <v>1970</v>
      </c>
      <c r="V41" s="292" t="s">
        <v>256</v>
      </c>
      <c r="W41" s="292" t="s">
        <v>1970</v>
      </c>
      <c r="X41" s="292" t="s">
        <v>1971</v>
      </c>
      <c r="Y41" s="292" t="s">
        <v>1972</v>
      </c>
      <c r="Z41" s="293" t="s">
        <v>1973</v>
      </c>
      <c r="AA41" s="293" t="s">
        <v>1974</v>
      </c>
      <c r="AB41" s="293" t="s">
        <v>1975</v>
      </c>
      <c r="AC41" s="294">
        <v>0.18340000000000001</v>
      </c>
      <c r="AD41" s="5"/>
      <c r="AF41" s="7" t="e">
        <f>IF(C41="","",VLOOKUP(C41,[3]listaBolsa!$D$2:$BB$276,51,0))</f>
        <v>#N/A</v>
      </c>
      <c r="BG41" s="7">
        <v>33</v>
      </c>
      <c r="CA41" s="7" t="e">
        <f>VLOOKUP(C41,[3]listaBolsa!$D$2:$BA$1248,1,0)</f>
        <v>#N/A</v>
      </c>
      <c r="CB41" s="7" t="e">
        <f>VLOOKUP(C41,[3]listaBolsa!$D$2:$BA$1248,2,0)</f>
        <v>#N/A</v>
      </c>
      <c r="CC41" s="7" t="e">
        <f>VLOOKUP(C41,[3]listaBolsa!$D$2:$BA$1248,10,0)</f>
        <v>#N/A</v>
      </c>
      <c r="CD41" s="7" t="e">
        <f>VLOOKUP(C41,[3]listaBolsa!$D$2:$BA$1248,14,0)</f>
        <v>#N/A</v>
      </c>
      <c r="CE41" s="7" t="e">
        <f>VLOOKUP(C41,[3]listaBolsa!$D$2:$BA$1248,23,0)</f>
        <v>#N/A</v>
      </c>
      <c r="CF41" s="7" t="e">
        <f>VLOOKUP(C41,[3]listaBolsa!$D$2:$BA$1248,29,0)</f>
        <v>#N/A</v>
      </c>
      <c r="CG41" s="7" t="e">
        <f>VLOOKUP(C41,[3]listaBolsa!$D$2:$BA$1248,36,0)</f>
        <v>#N/A</v>
      </c>
      <c r="CH41" s="7" t="e">
        <f>VLOOKUP(C41,[3]listaBolsa!$D$2:$BA$1248,40,0)</f>
        <v>#N/A</v>
      </c>
      <c r="CI41" s="7" t="e">
        <f>VLOOKUP(C41,[3]listaBolsa!$D$2:$BA$1248,48,0)</f>
        <v>#N/A</v>
      </c>
      <c r="CJ41" s="7" t="e">
        <f t="shared" ref="CJ41:CK69" si="6">CA41=C41</f>
        <v>#N/A</v>
      </c>
      <c r="CK41" s="7" t="e">
        <f t="shared" si="6"/>
        <v>#N/A</v>
      </c>
      <c r="CL41" s="7" t="e">
        <f t="shared" ref="CL41:CM69" si="7">CC41=H41</f>
        <v>#N/A</v>
      </c>
      <c r="CM41" s="7" t="e">
        <f t="shared" si="7"/>
        <v>#N/A</v>
      </c>
      <c r="CN41" s="7" t="e">
        <f t="shared" ref="CN41:CO69" si="8">CE41=N41</f>
        <v>#N/A</v>
      </c>
      <c r="CO41" s="7" t="e">
        <f t="shared" si="8"/>
        <v>#N/A</v>
      </c>
      <c r="CP41" s="7" t="e">
        <f t="shared" ref="CP41:CQ69" si="9">CG41=T41</f>
        <v>#N/A</v>
      </c>
      <c r="CQ41" s="7" t="e">
        <f t="shared" si="9"/>
        <v>#N/A</v>
      </c>
      <c r="CR41" s="7" t="e">
        <f t="shared" si="5"/>
        <v>#N/A</v>
      </c>
    </row>
    <row r="42" spans="1:96" s="7" customFormat="1" ht="117">
      <c r="A42" s="75">
        <f t="shared" si="0"/>
        <v>34</v>
      </c>
      <c r="B42" s="210" t="s">
        <v>1491</v>
      </c>
      <c r="C42" s="218" t="s">
        <v>1976</v>
      </c>
      <c r="D42" s="219" t="s">
        <v>1826</v>
      </c>
      <c r="E42" s="211" t="s">
        <v>185</v>
      </c>
      <c r="F42" s="207">
        <v>1</v>
      </c>
      <c r="G42" s="205" t="s">
        <v>186</v>
      </c>
      <c r="H42" s="289" t="s">
        <v>1977</v>
      </c>
      <c r="I42" s="290" t="s">
        <v>1978</v>
      </c>
      <c r="J42" s="290" t="s">
        <v>256</v>
      </c>
      <c r="K42" s="290" t="s">
        <v>1979</v>
      </c>
      <c r="L42" s="290" t="s">
        <v>1980</v>
      </c>
      <c r="M42" s="290" t="s">
        <v>1979</v>
      </c>
      <c r="N42" s="291" t="s">
        <v>1981</v>
      </c>
      <c r="O42" s="291" t="s">
        <v>1978</v>
      </c>
      <c r="P42" s="291" t="s">
        <v>256</v>
      </c>
      <c r="Q42" s="291" t="s">
        <v>1978</v>
      </c>
      <c r="R42" s="291" t="s">
        <v>1982</v>
      </c>
      <c r="S42" s="291" t="s">
        <v>1983</v>
      </c>
      <c r="T42" s="292" t="s">
        <v>1984</v>
      </c>
      <c r="U42" s="292" t="s">
        <v>1985</v>
      </c>
      <c r="V42" s="292" t="s">
        <v>256</v>
      </c>
      <c r="W42" s="292" t="s">
        <v>1985</v>
      </c>
      <c r="X42" s="292" t="s">
        <v>1986</v>
      </c>
      <c r="Y42" s="292" t="s">
        <v>1987</v>
      </c>
      <c r="Z42" s="293" t="s">
        <v>1988</v>
      </c>
      <c r="AA42" s="293" t="s">
        <v>1989</v>
      </c>
      <c r="AB42" s="293" t="s">
        <v>1990</v>
      </c>
      <c r="AC42" s="294">
        <v>0.1032</v>
      </c>
      <c r="AD42" s="5"/>
      <c r="AF42" s="7" t="e">
        <f>IF(C42="","",VLOOKUP(C42,[3]listaBolsa!$D$2:$BB$276,51,0))</f>
        <v>#N/A</v>
      </c>
      <c r="BG42" s="7">
        <v>34</v>
      </c>
      <c r="CA42" s="7" t="e">
        <f>VLOOKUP(C42,[3]listaBolsa!$D$2:$BA$1248,1,0)</f>
        <v>#N/A</v>
      </c>
      <c r="CB42" s="7" t="e">
        <f>VLOOKUP(C42,[3]listaBolsa!$D$2:$BA$1248,2,0)</f>
        <v>#N/A</v>
      </c>
      <c r="CC42" s="7" t="e">
        <f>VLOOKUP(C42,[3]listaBolsa!$D$2:$BA$1248,10,0)</f>
        <v>#N/A</v>
      </c>
      <c r="CD42" s="7" t="e">
        <f>VLOOKUP(C42,[3]listaBolsa!$D$2:$BA$1248,14,0)</f>
        <v>#N/A</v>
      </c>
      <c r="CE42" s="7" t="e">
        <f>VLOOKUP(C42,[3]listaBolsa!$D$2:$BA$1248,23,0)</f>
        <v>#N/A</v>
      </c>
      <c r="CF42" s="7" t="e">
        <f>VLOOKUP(C42,[3]listaBolsa!$D$2:$BA$1248,29,0)</f>
        <v>#N/A</v>
      </c>
      <c r="CG42" s="7" t="e">
        <f>VLOOKUP(C42,[3]listaBolsa!$D$2:$BA$1248,36,0)</f>
        <v>#N/A</v>
      </c>
      <c r="CH42" s="7" t="e">
        <f>VLOOKUP(C42,[3]listaBolsa!$D$2:$BA$1248,40,0)</f>
        <v>#N/A</v>
      </c>
      <c r="CI42" s="7" t="e">
        <f>VLOOKUP(C42,[3]listaBolsa!$D$2:$BA$1248,48,0)</f>
        <v>#N/A</v>
      </c>
      <c r="CJ42" s="7" t="e">
        <f t="shared" si="6"/>
        <v>#N/A</v>
      </c>
      <c r="CK42" s="7" t="e">
        <f t="shared" si="6"/>
        <v>#N/A</v>
      </c>
      <c r="CL42" s="7" t="e">
        <f t="shared" si="7"/>
        <v>#N/A</v>
      </c>
      <c r="CM42" s="7" t="e">
        <f t="shared" si="7"/>
        <v>#N/A</v>
      </c>
      <c r="CN42" s="7" t="e">
        <f t="shared" si="8"/>
        <v>#N/A</v>
      </c>
      <c r="CO42" s="7" t="e">
        <f t="shared" si="8"/>
        <v>#N/A</v>
      </c>
      <c r="CP42" s="7" t="e">
        <f t="shared" si="9"/>
        <v>#N/A</v>
      </c>
      <c r="CQ42" s="7" t="e">
        <f t="shared" si="9"/>
        <v>#N/A</v>
      </c>
      <c r="CR42" s="7" t="e">
        <f t="shared" si="5"/>
        <v>#N/A</v>
      </c>
    </row>
    <row r="43" spans="1:96" s="7" customFormat="1" ht="117">
      <c r="A43" s="75">
        <f t="shared" si="0"/>
        <v>35</v>
      </c>
      <c r="B43" s="210" t="s">
        <v>1491</v>
      </c>
      <c r="C43" s="218" t="s">
        <v>1991</v>
      </c>
      <c r="D43" s="219" t="s">
        <v>1826</v>
      </c>
      <c r="E43" s="211" t="s">
        <v>185</v>
      </c>
      <c r="F43" s="207">
        <v>1</v>
      </c>
      <c r="G43" s="205" t="s">
        <v>186</v>
      </c>
      <c r="H43" s="289" t="s">
        <v>1746</v>
      </c>
      <c r="I43" s="290" t="s">
        <v>1747</v>
      </c>
      <c r="J43" s="290" t="s">
        <v>256</v>
      </c>
      <c r="K43" s="290" t="s">
        <v>1748</v>
      </c>
      <c r="L43" s="290" t="s">
        <v>1749</v>
      </c>
      <c r="M43" s="290" t="s">
        <v>1748</v>
      </c>
      <c r="N43" s="291" t="s">
        <v>1750</v>
      </c>
      <c r="O43" s="291" t="s">
        <v>1751</v>
      </c>
      <c r="P43" s="291" t="s">
        <v>256</v>
      </c>
      <c r="Q43" s="291" t="s">
        <v>1751</v>
      </c>
      <c r="R43" s="291" t="s">
        <v>1754</v>
      </c>
      <c r="S43" s="291" t="s">
        <v>1827</v>
      </c>
      <c r="T43" s="292" t="s">
        <v>1756</v>
      </c>
      <c r="U43" s="292" t="s">
        <v>1747</v>
      </c>
      <c r="V43" s="292" t="s">
        <v>256</v>
      </c>
      <c r="W43" s="292" t="s">
        <v>1747</v>
      </c>
      <c r="X43" s="292" t="s">
        <v>1828</v>
      </c>
      <c r="Y43" s="292" t="s">
        <v>1829</v>
      </c>
      <c r="Z43" s="293" t="s">
        <v>1830</v>
      </c>
      <c r="AA43" s="293" t="s">
        <v>1831</v>
      </c>
      <c r="AB43" s="293" t="s">
        <v>1832</v>
      </c>
      <c r="AC43" s="294">
        <v>0.1237</v>
      </c>
      <c r="AD43" s="5"/>
      <c r="AF43" s="7" t="e">
        <f>IF(C43="","",VLOOKUP(C43,[3]listaBolsa!$D$2:$BB$276,51,0))</f>
        <v>#N/A</v>
      </c>
      <c r="BG43" s="7">
        <v>35</v>
      </c>
      <c r="CA43" s="7" t="e">
        <f>VLOOKUP(C43,[3]listaBolsa!$D$2:$BA$1248,1,0)</f>
        <v>#N/A</v>
      </c>
      <c r="CB43" s="7" t="e">
        <f>VLOOKUP(C43,[3]listaBolsa!$D$2:$BA$1248,2,0)</f>
        <v>#N/A</v>
      </c>
      <c r="CC43" s="7" t="e">
        <f>VLOOKUP(C43,[3]listaBolsa!$D$2:$BA$1248,10,0)</f>
        <v>#N/A</v>
      </c>
      <c r="CD43" s="7" t="e">
        <f>VLOOKUP(C43,[3]listaBolsa!$D$2:$BA$1248,14,0)</f>
        <v>#N/A</v>
      </c>
      <c r="CE43" s="7" t="e">
        <f>VLOOKUP(C43,[3]listaBolsa!$D$2:$BA$1248,23,0)</f>
        <v>#N/A</v>
      </c>
      <c r="CF43" s="7" t="e">
        <f>VLOOKUP(C43,[3]listaBolsa!$D$2:$BA$1248,29,0)</f>
        <v>#N/A</v>
      </c>
      <c r="CG43" s="7" t="e">
        <f>VLOOKUP(C43,[3]listaBolsa!$D$2:$BA$1248,36,0)</f>
        <v>#N/A</v>
      </c>
      <c r="CH43" s="7" t="e">
        <f>VLOOKUP(C43,[3]listaBolsa!$D$2:$BA$1248,40,0)</f>
        <v>#N/A</v>
      </c>
      <c r="CI43" s="7" t="e">
        <f>VLOOKUP(C43,[3]listaBolsa!$D$2:$BA$1248,48,0)</f>
        <v>#N/A</v>
      </c>
      <c r="CJ43" s="7" t="e">
        <f t="shared" si="6"/>
        <v>#N/A</v>
      </c>
      <c r="CK43" s="7" t="e">
        <f t="shared" si="6"/>
        <v>#N/A</v>
      </c>
      <c r="CL43" s="7" t="e">
        <f t="shared" si="7"/>
        <v>#N/A</v>
      </c>
      <c r="CM43" s="7" t="e">
        <f t="shared" si="7"/>
        <v>#N/A</v>
      </c>
      <c r="CN43" s="7" t="e">
        <f t="shared" si="8"/>
        <v>#N/A</v>
      </c>
      <c r="CO43" s="7" t="e">
        <f t="shared" si="8"/>
        <v>#N/A</v>
      </c>
      <c r="CP43" s="7" t="e">
        <f t="shared" si="9"/>
        <v>#N/A</v>
      </c>
      <c r="CQ43" s="7" t="e">
        <f t="shared" si="9"/>
        <v>#N/A</v>
      </c>
      <c r="CR43" s="7" t="e">
        <f t="shared" si="5"/>
        <v>#N/A</v>
      </c>
    </row>
    <row r="44" spans="1:96" s="7" customFormat="1" ht="117">
      <c r="A44" s="75">
        <f t="shared" si="0"/>
        <v>36</v>
      </c>
      <c r="B44" s="210" t="s">
        <v>1491</v>
      </c>
      <c r="C44" s="218" t="s">
        <v>1992</v>
      </c>
      <c r="D44" s="219" t="s">
        <v>1826</v>
      </c>
      <c r="E44" s="211" t="s">
        <v>185</v>
      </c>
      <c r="F44" s="207">
        <v>1</v>
      </c>
      <c r="G44" s="205" t="s">
        <v>186</v>
      </c>
      <c r="H44" s="289" t="s">
        <v>1746</v>
      </c>
      <c r="I44" s="290" t="s">
        <v>1747</v>
      </c>
      <c r="J44" s="290" t="s">
        <v>256</v>
      </c>
      <c r="K44" s="290" t="s">
        <v>1748</v>
      </c>
      <c r="L44" s="290" t="s">
        <v>1749</v>
      </c>
      <c r="M44" s="290" t="s">
        <v>1748</v>
      </c>
      <c r="N44" s="291" t="s">
        <v>1750</v>
      </c>
      <c r="O44" s="291" t="s">
        <v>1751</v>
      </c>
      <c r="P44" s="291" t="s">
        <v>256</v>
      </c>
      <c r="Q44" s="291" t="s">
        <v>1751</v>
      </c>
      <c r="R44" s="291" t="s">
        <v>1754</v>
      </c>
      <c r="S44" s="291" t="s">
        <v>1827</v>
      </c>
      <c r="T44" s="292" t="s">
        <v>1756</v>
      </c>
      <c r="U44" s="292" t="s">
        <v>1747</v>
      </c>
      <c r="V44" s="292" t="s">
        <v>256</v>
      </c>
      <c r="W44" s="292" t="s">
        <v>1747</v>
      </c>
      <c r="X44" s="292" t="s">
        <v>1828</v>
      </c>
      <c r="Y44" s="292" t="s">
        <v>1829</v>
      </c>
      <c r="Z44" s="293" t="s">
        <v>1830</v>
      </c>
      <c r="AA44" s="293" t="s">
        <v>1831</v>
      </c>
      <c r="AB44" s="293" t="s">
        <v>1832</v>
      </c>
      <c r="AC44" s="294">
        <v>0.1237</v>
      </c>
      <c r="AD44" s="5"/>
      <c r="AF44" s="7" t="e">
        <f>IF(C44="","",VLOOKUP(C44,[3]listaBolsa!$D$2:$BB$276,51,0))</f>
        <v>#N/A</v>
      </c>
      <c r="BG44" s="7">
        <v>36</v>
      </c>
      <c r="CA44" s="7" t="e">
        <f>VLOOKUP(C44,[3]listaBolsa!$D$2:$BA$1248,1,0)</f>
        <v>#N/A</v>
      </c>
      <c r="CB44" s="7" t="e">
        <f>VLOOKUP(C44,[3]listaBolsa!$D$2:$BA$1248,2,0)</f>
        <v>#N/A</v>
      </c>
      <c r="CC44" s="7" t="e">
        <f>VLOOKUP(C44,[3]listaBolsa!$D$2:$BA$1248,10,0)</f>
        <v>#N/A</v>
      </c>
      <c r="CD44" s="7" t="e">
        <f>VLOOKUP(C44,[3]listaBolsa!$D$2:$BA$1248,14,0)</f>
        <v>#N/A</v>
      </c>
      <c r="CE44" s="7" t="e">
        <f>VLOOKUP(C44,[3]listaBolsa!$D$2:$BA$1248,23,0)</f>
        <v>#N/A</v>
      </c>
      <c r="CF44" s="7" t="e">
        <f>VLOOKUP(C44,[3]listaBolsa!$D$2:$BA$1248,29,0)</f>
        <v>#N/A</v>
      </c>
      <c r="CG44" s="7" t="e">
        <f>VLOOKUP(C44,[3]listaBolsa!$D$2:$BA$1248,36,0)</f>
        <v>#N/A</v>
      </c>
      <c r="CH44" s="7" t="e">
        <f>VLOOKUP(C44,[3]listaBolsa!$D$2:$BA$1248,40,0)</f>
        <v>#N/A</v>
      </c>
      <c r="CI44" s="7" t="e">
        <f>VLOOKUP(C44,[3]listaBolsa!$D$2:$BA$1248,48,0)</f>
        <v>#N/A</v>
      </c>
      <c r="CJ44" s="7" t="e">
        <f t="shared" si="6"/>
        <v>#N/A</v>
      </c>
      <c r="CK44" s="7" t="e">
        <f t="shared" si="6"/>
        <v>#N/A</v>
      </c>
      <c r="CL44" s="7" t="e">
        <f t="shared" si="7"/>
        <v>#N/A</v>
      </c>
      <c r="CM44" s="7" t="e">
        <f t="shared" si="7"/>
        <v>#N/A</v>
      </c>
      <c r="CN44" s="7" t="e">
        <f t="shared" si="8"/>
        <v>#N/A</v>
      </c>
      <c r="CO44" s="7" t="e">
        <f t="shared" si="8"/>
        <v>#N/A</v>
      </c>
      <c r="CP44" s="7" t="e">
        <f t="shared" si="9"/>
        <v>#N/A</v>
      </c>
      <c r="CQ44" s="7" t="e">
        <f t="shared" si="9"/>
        <v>#N/A</v>
      </c>
      <c r="CR44" s="7" t="e">
        <f t="shared" si="5"/>
        <v>#N/A</v>
      </c>
    </row>
    <row r="45" spans="1:96" s="7" customFormat="1" ht="117">
      <c r="A45" s="75">
        <f t="shared" si="0"/>
        <v>37</v>
      </c>
      <c r="B45" s="210" t="s">
        <v>1491</v>
      </c>
      <c r="C45" s="218" t="s">
        <v>1993</v>
      </c>
      <c r="D45" s="219" t="s">
        <v>1826</v>
      </c>
      <c r="E45" s="211" t="s">
        <v>185</v>
      </c>
      <c r="F45" s="207">
        <v>1</v>
      </c>
      <c r="G45" s="205" t="s">
        <v>186</v>
      </c>
      <c r="H45" s="289" t="s">
        <v>1666</v>
      </c>
      <c r="I45" s="290" t="s">
        <v>1994</v>
      </c>
      <c r="J45" s="290" t="s">
        <v>256</v>
      </c>
      <c r="K45" s="290" t="s">
        <v>1995</v>
      </c>
      <c r="L45" s="290" t="s">
        <v>1996</v>
      </c>
      <c r="M45" s="290" t="s">
        <v>1995</v>
      </c>
      <c r="N45" s="291" t="s">
        <v>1670</v>
      </c>
      <c r="O45" s="291" t="s">
        <v>1803</v>
      </c>
      <c r="P45" s="291" t="s">
        <v>256</v>
      </c>
      <c r="Q45" s="291" t="s">
        <v>1803</v>
      </c>
      <c r="R45" s="291" t="s">
        <v>1804</v>
      </c>
      <c r="S45" s="291" t="s">
        <v>1805</v>
      </c>
      <c r="T45" s="292" t="s">
        <v>1674</v>
      </c>
      <c r="U45" s="292" t="s">
        <v>1793</v>
      </c>
      <c r="V45" s="292" t="s">
        <v>256</v>
      </c>
      <c r="W45" s="292" t="s">
        <v>1793</v>
      </c>
      <c r="X45" s="292" t="s">
        <v>1794</v>
      </c>
      <c r="Y45" s="292" t="s">
        <v>1795</v>
      </c>
      <c r="Z45" s="293" t="s">
        <v>1997</v>
      </c>
      <c r="AA45" s="293" t="s">
        <v>1998</v>
      </c>
      <c r="AB45" s="293" t="s">
        <v>1968</v>
      </c>
      <c r="AC45" s="294">
        <v>0.1366</v>
      </c>
      <c r="AD45" s="5"/>
      <c r="AF45" s="7" t="e">
        <f>IF(C45="","",VLOOKUP(C45,[3]listaBolsa!$D$2:$BB$276,51,0))</f>
        <v>#N/A</v>
      </c>
      <c r="BG45" s="7">
        <v>37</v>
      </c>
      <c r="CA45" s="7" t="e">
        <f>VLOOKUP(C45,[3]listaBolsa!$D$2:$BA$1248,1,0)</f>
        <v>#N/A</v>
      </c>
      <c r="CB45" s="7" t="e">
        <f>VLOOKUP(C45,[3]listaBolsa!$D$2:$BA$1248,2,0)</f>
        <v>#N/A</v>
      </c>
      <c r="CC45" s="7" t="e">
        <f>VLOOKUP(C45,[3]listaBolsa!$D$2:$BA$1248,10,0)</f>
        <v>#N/A</v>
      </c>
      <c r="CD45" s="7" t="e">
        <f>VLOOKUP(C45,[3]listaBolsa!$D$2:$BA$1248,14,0)</f>
        <v>#N/A</v>
      </c>
      <c r="CE45" s="7" t="e">
        <f>VLOOKUP(C45,[3]listaBolsa!$D$2:$BA$1248,23,0)</f>
        <v>#N/A</v>
      </c>
      <c r="CF45" s="7" t="e">
        <f>VLOOKUP(C45,[3]listaBolsa!$D$2:$BA$1248,29,0)</f>
        <v>#N/A</v>
      </c>
      <c r="CG45" s="7" t="e">
        <f>VLOOKUP(C45,[3]listaBolsa!$D$2:$BA$1248,36,0)</f>
        <v>#N/A</v>
      </c>
      <c r="CH45" s="7" t="e">
        <f>VLOOKUP(C45,[3]listaBolsa!$D$2:$BA$1248,40,0)</f>
        <v>#N/A</v>
      </c>
      <c r="CI45" s="7" t="e">
        <f>VLOOKUP(C45,[3]listaBolsa!$D$2:$BA$1248,48,0)</f>
        <v>#N/A</v>
      </c>
      <c r="CJ45" s="7" t="e">
        <f t="shared" si="6"/>
        <v>#N/A</v>
      </c>
      <c r="CK45" s="7" t="e">
        <f t="shared" si="6"/>
        <v>#N/A</v>
      </c>
      <c r="CL45" s="7" t="e">
        <f t="shared" si="7"/>
        <v>#N/A</v>
      </c>
      <c r="CM45" s="7" t="e">
        <f t="shared" si="7"/>
        <v>#N/A</v>
      </c>
      <c r="CN45" s="7" t="e">
        <f t="shared" si="8"/>
        <v>#N/A</v>
      </c>
      <c r="CO45" s="7" t="e">
        <f t="shared" si="8"/>
        <v>#N/A</v>
      </c>
      <c r="CP45" s="7" t="e">
        <f t="shared" si="9"/>
        <v>#N/A</v>
      </c>
      <c r="CQ45" s="7" t="e">
        <f t="shared" si="9"/>
        <v>#N/A</v>
      </c>
      <c r="CR45" s="7" t="e">
        <f t="shared" si="5"/>
        <v>#N/A</v>
      </c>
    </row>
    <row r="46" spans="1:96" s="7" customFormat="1" ht="117">
      <c r="A46" s="75">
        <f t="shared" si="0"/>
        <v>38</v>
      </c>
      <c r="B46" s="210" t="s">
        <v>1491</v>
      </c>
      <c r="C46" s="218" t="s">
        <v>1999</v>
      </c>
      <c r="D46" s="219" t="s">
        <v>1826</v>
      </c>
      <c r="E46" s="211" t="s">
        <v>185</v>
      </c>
      <c r="F46" s="207">
        <v>1</v>
      </c>
      <c r="G46" s="205" t="s">
        <v>186</v>
      </c>
      <c r="H46" s="289" t="s">
        <v>1746</v>
      </c>
      <c r="I46" s="290" t="s">
        <v>1747</v>
      </c>
      <c r="J46" s="290" t="s">
        <v>256</v>
      </c>
      <c r="K46" s="290" t="s">
        <v>1748</v>
      </c>
      <c r="L46" s="290" t="s">
        <v>1749</v>
      </c>
      <c r="M46" s="290" t="s">
        <v>1748</v>
      </c>
      <c r="N46" s="291" t="s">
        <v>1750</v>
      </c>
      <c r="O46" s="291" t="s">
        <v>1751</v>
      </c>
      <c r="P46" s="291" t="s">
        <v>256</v>
      </c>
      <c r="Q46" s="291" t="s">
        <v>1751</v>
      </c>
      <c r="R46" s="291" t="s">
        <v>1754</v>
      </c>
      <c r="S46" s="291" t="s">
        <v>1827</v>
      </c>
      <c r="T46" s="292" t="s">
        <v>2000</v>
      </c>
      <c r="U46" s="292" t="s">
        <v>2001</v>
      </c>
      <c r="V46" s="292" t="s">
        <v>256</v>
      </c>
      <c r="W46" s="292" t="s">
        <v>2001</v>
      </c>
      <c r="X46" s="292" t="s">
        <v>2002</v>
      </c>
      <c r="Y46" s="292" t="s">
        <v>2003</v>
      </c>
      <c r="Z46" s="293" t="s">
        <v>2004</v>
      </c>
      <c r="AA46" s="293" t="s">
        <v>2005</v>
      </c>
      <c r="AB46" s="293" t="s">
        <v>1680</v>
      </c>
      <c r="AC46" s="294">
        <v>0.1118</v>
      </c>
      <c r="AD46" s="5"/>
      <c r="AF46" s="7" t="e">
        <f>IF(C46="","",VLOOKUP(C46,[3]listaBolsa!$D$2:$BB$276,51,0))</f>
        <v>#N/A</v>
      </c>
      <c r="BG46" s="7">
        <v>38</v>
      </c>
      <c r="CA46" s="7" t="e">
        <f>VLOOKUP(C46,[3]listaBolsa!$D$2:$BA$1248,1,0)</f>
        <v>#N/A</v>
      </c>
      <c r="CB46" s="7" t="e">
        <f>VLOOKUP(C46,[3]listaBolsa!$D$2:$BA$1248,2,0)</f>
        <v>#N/A</v>
      </c>
      <c r="CC46" s="7" t="e">
        <f>VLOOKUP(C46,[3]listaBolsa!$D$2:$BA$1248,10,0)</f>
        <v>#N/A</v>
      </c>
      <c r="CD46" s="7" t="e">
        <f>VLOOKUP(C46,[3]listaBolsa!$D$2:$BA$1248,14,0)</f>
        <v>#N/A</v>
      </c>
      <c r="CE46" s="7" t="e">
        <f>VLOOKUP(C46,[3]listaBolsa!$D$2:$BA$1248,23,0)</f>
        <v>#N/A</v>
      </c>
      <c r="CF46" s="7" t="e">
        <f>VLOOKUP(C46,[3]listaBolsa!$D$2:$BA$1248,29,0)</f>
        <v>#N/A</v>
      </c>
      <c r="CG46" s="7" t="e">
        <f>VLOOKUP(C46,[3]listaBolsa!$D$2:$BA$1248,36,0)</f>
        <v>#N/A</v>
      </c>
      <c r="CH46" s="7" t="e">
        <f>VLOOKUP(C46,[3]listaBolsa!$D$2:$BA$1248,40,0)</f>
        <v>#N/A</v>
      </c>
      <c r="CI46" s="7" t="e">
        <f>VLOOKUP(C46,[3]listaBolsa!$D$2:$BA$1248,48,0)</f>
        <v>#N/A</v>
      </c>
      <c r="CJ46" s="7" t="e">
        <f t="shared" si="6"/>
        <v>#N/A</v>
      </c>
      <c r="CK46" s="7" t="e">
        <f t="shared" si="6"/>
        <v>#N/A</v>
      </c>
      <c r="CL46" s="7" t="e">
        <f t="shared" si="7"/>
        <v>#N/A</v>
      </c>
      <c r="CM46" s="7" t="e">
        <f t="shared" si="7"/>
        <v>#N/A</v>
      </c>
      <c r="CN46" s="7" t="e">
        <f t="shared" si="8"/>
        <v>#N/A</v>
      </c>
      <c r="CO46" s="7" t="e">
        <f t="shared" si="8"/>
        <v>#N/A</v>
      </c>
      <c r="CP46" s="7" t="e">
        <f t="shared" si="9"/>
        <v>#N/A</v>
      </c>
      <c r="CQ46" s="7" t="e">
        <f t="shared" si="9"/>
        <v>#N/A</v>
      </c>
      <c r="CR46" s="7" t="e">
        <f t="shared" si="5"/>
        <v>#N/A</v>
      </c>
    </row>
    <row r="47" spans="1:96" s="7" customFormat="1" ht="117">
      <c r="A47" s="75">
        <f t="shared" si="0"/>
        <v>39</v>
      </c>
      <c r="B47" s="210" t="s">
        <v>1491</v>
      </c>
      <c r="C47" s="218" t="s">
        <v>2006</v>
      </c>
      <c r="D47" s="219" t="s">
        <v>1826</v>
      </c>
      <c r="E47" s="211" t="s">
        <v>185</v>
      </c>
      <c r="F47" s="207">
        <v>1</v>
      </c>
      <c r="G47" s="205" t="s">
        <v>186</v>
      </c>
      <c r="H47" s="289" t="s">
        <v>1746</v>
      </c>
      <c r="I47" s="290" t="s">
        <v>1747</v>
      </c>
      <c r="J47" s="290" t="s">
        <v>256</v>
      </c>
      <c r="K47" s="290" t="s">
        <v>1748</v>
      </c>
      <c r="L47" s="290" t="s">
        <v>1749</v>
      </c>
      <c r="M47" s="290" t="s">
        <v>1748</v>
      </c>
      <c r="N47" s="291" t="s">
        <v>1750</v>
      </c>
      <c r="O47" s="291" t="s">
        <v>1751</v>
      </c>
      <c r="P47" s="291" t="s">
        <v>256</v>
      </c>
      <c r="Q47" s="291" t="s">
        <v>1751</v>
      </c>
      <c r="R47" s="291" t="s">
        <v>1754</v>
      </c>
      <c r="S47" s="291" t="s">
        <v>1827</v>
      </c>
      <c r="T47" s="292" t="s">
        <v>1756</v>
      </c>
      <c r="U47" s="292" t="s">
        <v>1747</v>
      </c>
      <c r="V47" s="292" t="s">
        <v>256</v>
      </c>
      <c r="W47" s="292" t="s">
        <v>1747</v>
      </c>
      <c r="X47" s="292" t="s">
        <v>1828</v>
      </c>
      <c r="Y47" s="292" t="s">
        <v>1829</v>
      </c>
      <c r="Z47" s="293" t="s">
        <v>1830</v>
      </c>
      <c r="AA47" s="293" t="s">
        <v>1831</v>
      </c>
      <c r="AB47" s="293" t="s">
        <v>1832</v>
      </c>
      <c r="AC47" s="294">
        <v>0.1237</v>
      </c>
      <c r="AD47" s="5"/>
      <c r="AF47" s="7" t="e">
        <f>IF(C47="","",VLOOKUP(C47,[3]listaBolsa!$D$2:$BB$276,51,0))</f>
        <v>#N/A</v>
      </c>
      <c r="BG47" s="7">
        <v>39</v>
      </c>
      <c r="CA47" s="7" t="e">
        <f>VLOOKUP(C47,[3]listaBolsa!$D$2:$BA$1248,1,0)</f>
        <v>#N/A</v>
      </c>
      <c r="CB47" s="7" t="e">
        <f>VLOOKUP(C47,[3]listaBolsa!$D$2:$BA$1248,2,0)</f>
        <v>#N/A</v>
      </c>
      <c r="CC47" s="7" t="e">
        <f>VLOOKUP(C47,[3]listaBolsa!$D$2:$BA$1248,10,0)</f>
        <v>#N/A</v>
      </c>
      <c r="CD47" s="7" t="e">
        <f>VLOOKUP(C47,[3]listaBolsa!$D$2:$BA$1248,14,0)</f>
        <v>#N/A</v>
      </c>
      <c r="CE47" s="7" t="e">
        <f>VLOOKUP(C47,[3]listaBolsa!$D$2:$BA$1248,23,0)</f>
        <v>#N/A</v>
      </c>
      <c r="CF47" s="7" t="e">
        <f>VLOOKUP(C47,[3]listaBolsa!$D$2:$BA$1248,29,0)</f>
        <v>#N/A</v>
      </c>
      <c r="CG47" s="7" t="e">
        <f>VLOOKUP(C47,[3]listaBolsa!$D$2:$BA$1248,36,0)</f>
        <v>#N/A</v>
      </c>
      <c r="CH47" s="7" t="e">
        <f>VLOOKUP(C47,[3]listaBolsa!$D$2:$BA$1248,40,0)</f>
        <v>#N/A</v>
      </c>
      <c r="CI47" s="7" t="e">
        <f>VLOOKUP(C47,[3]listaBolsa!$D$2:$BA$1248,48,0)</f>
        <v>#N/A</v>
      </c>
      <c r="CJ47" s="7" t="e">
        <f t="shared" si="6"/>
        <v>#N/A</v>
      </c>
      <c r="CK47" s="7" t="e">
        <f t="shared" si="6"/>
        <v>#N/A</v>
      </c>
      <c r="CL47" s="7" t="e">
        <f t="shared" si="7"/>
        <v>#N/A</v>
      </c>
      <c r="CM47" s="7" t="e">
        <f t="shared" si="7"/>
        <v>#N/A</v>
      </c>
      <c r="CN47" s="7" t="e">
        <f t="shared" si="8"/>
        <v>#N/A</v>
      </c>
      <c r="CO47" s="7" t="e">
        <f t="shared" si="8"/>
        <v>#N/A</v>
      </c>
      <c r="CP47" s="7" t="e">
        <f t="shared" si="9"/>
        <v>#N/A</v>
      </c>
      <c r="CQ47" s="7" t="e">
        <f t="shared" si="9"/>
        <v>#N/A</v>
      </c>
      <c r="CR47" s="7" t="e">
        <f t="shared" si="5"/>
        <v>#N/A</v>
      </c>
    </row>
    <row r="48" spans="1:96" s="7" customFormat="1" ht="117">
      <c r="A48" s="75">
        <f t="shared" si="0"/>
        <v>40</v>
      </c>
      <c r="B48" s="210" t="s">
        <v>1491</v>
      </c>
      <c r="C48" s="218" t="s">
        <v>2007</v>
      </c>
      <c r="D48" s="219" t="s">
        <v>1826</v>
      </c>
      <c r="E48" s="211" t="s">
        <v>185</v>
      </c>
      <c r="F48" s="207">
        <v>1</v>
      </c>
      <c r="G48" s="205" t="s">
        <v>186</v>
      </c>
      <c r="H48" s="289" t="s">
        <v>1666</v>
      </c>
      <c r="I48" s="290" t="s">
        <v>1675</v>
      </c>
      <c r="J48" s="290" t="s">
        <v>256</v>
      </c>
      <c r="K48" s="290" t="s">
        <v>2008</v>
      </c>
      <c r="L48" s="290" t="s">
        <v>2009</v>
      </c>
      <c r="M48" s="290" t="s">
        <v>2008</v>
      </c>
      <c r="N48" s="291" t="s">
        <v>1670</v>
      </c>
      <c r="O48" s="291" t="s">
        <v>1694</v>
      </c>
      <c r="P48" s="291" t="s">
        <v>256</v>
      </c>
      <c r="Q48" s="291" t="s">
        <v>1694</v>
      </c>
      <c r="R48" s="291" t="s">
        <v>1695</v>
      </c>
      <c r="S48" s="291" t="s">
        <v>1696</v>
      </c>
      <c r="T48" s="292" t="s">
        <v>1674</v>
      </c>
      <c r="U48" s="292" t="s">
        <v>1686</v>
      </c>
      <c r="V48" s="292" t="s">
        <v>256</v>
      </c>
      <c r="W48" s="292" t="s">
        <v>1686</v>
      </c>
      <c r="X48" s="292" t="s">
        <v>1687</v>
      </c>
      <c r="Y48" s="292" t="s">
        <v>1688</v>
      </c>
      <c r="Z48" s="293" t="s">
        <v>2010</v>
      </c>
      <c r="AA48" s="293" t="s">
        <v>2011</v>
      </c>
      <c r="AB48" s="293" t="s">
        <v>2012</v>
      </c>
      <c r="AC48" s="294">
        <v>6.6799999999999998E-2</v>
      </c>
      <c r="AD48" s="5"/>
      <c r="AF48" s="7" t="e">
        <f>IF(C48="","",VLOOKUP(C48,[3]listaBolsa!$D$2:$BB$276,51,0))</f>
        <v>#N/A</v>
      </c>
      <c r="BG48" s="7">
        <v>40</v>
      </c>
      <c r="CA48" s="7" t="e">
        <f>VLOOKUP(C48,[3]listaBolsa!$D$2:$BA$1248,1,0)</f>
        <v>#N/A</v>
      </c>
      <c r="CB48" s="7" t="e">
        <f>VLOOKUP(C48,[3]listaBolsa!$D$2:$BA$1248,2,0)</f>
        <v>#N/A</v>
      </c>
      <c r="CC48" s="7" t="e">
        <f>VLOOKUP(C48,[3]listaBolsa!$D$2:$BA$1248,10,0)</f>
        <v>#N/A</v>
      </c>
      <c r="CD48" s="7" t="e">
        <f>VLOOKUP(C48,[3]listaBolsa!$D$2:$BA$1248,14,0)</f>
        <v>#N/A</v>
      </c>
      <c r="CE48" s="7" t="e">
        <f>VLOOKUP(C48,[3]listaBolsa!$D$2:$BA$1248,23,0)</f>
        <v>#N/A</v>
      </c>
      <c r="CF48" s="7" t="e">
        <f>VLOOKUP(C48,[3]listaBolsa!$D$2:$BA$1248,29,0)</f>
        <v>#N/A</v>
      </c>
      <c r="CG48" s="7" t="e">
        <f>VLOOKUP(C48,[3]listaBolsa!$D$2:$BA$1248,36,0)</f>
        <v>#N/A</v>
      </c>
      <c r="CH48" s="7" t="e">
        <f>VLOOKUP(C48,[3]listaBolsa!$D$2:$BA$1248,40,0)</f>
        <v>#N/A</v>
      </c>
      <c r="CI48" s="7" t="e">
        <f>VLOOKUP(C48,[3]listaBolsa!$D$2:$BA$1248,48,0)</f>
        <v>#N/A</v>
      </c>
      <c r="CJ48" s="7" t="e">
        <f t="shared" si="6"/>
        <v>#N/A</v>
      </c>
      <c r="CK48" s="7" t="e">
        <f t="shared" si="6"/>
        <v>#N/A</v>
      </c>
      <c r="CL48" s="7" t="e">
        <f t="shared" si="7"/>
        <v>#N/A</v>
      </c>
      <c r="CM48" s="7" t="e">
        <f t="shared" si="7"/>
        <v>#N/A</v>
      </c>
      <c r="CN48" s="7" t="e">
        <f t="shared" si="8"/>
        <v>#N/A</v>
      </c>
      <c r="CO48" s="7" t="e">
        <f t="shared" si="8"/>
        <v>#N/A</v>
      </c>
      <c r="CP48" s="7" t="e">
        <f t="shared" si="9"/>
        <v>#N/A</v>
      </c>
      <c r="CQ48" s="7" t="e">
        <f t="shared" si="9"/>
        <v>#N/A</v>
      </c>
      <c r="CR48" s="7" t="e">
        <f t="shared" si="5"/>
        <v>#N/A</v>
      </c>
    </row>
    <row r="49" spans="1:96" s="7" customFormat="1" ht="117">
      <c r="A49" s="75">
        <f t="shared" si="0"/>
        <v>41</v>
      </c>
      <c r="B49" s="210" t="s">
        <v>1491</v>
      </c>
      <c r="C49" s="218" t="s">
        <v>2013</v>
      </c>
      <c r="D49" s="219" t="s">
        <v>2014</v>
      </c>
      <c r="E49" s="211" t="s">
        <v>185</v>
      </c>
      <c r="F49" s="207">
        <v>1</v>
      </c>
      <c r="G49" s="205" t="s">
        <v>186</v>
      </c>
      <c r="H49" s="289" t="s">
        <v>1666</v>
      </c>
      <c r="I49" s="290" t="s">
        <v>2015</v>
      </c>
      <c r="J49" s="290" t="s">
        <v>256</v>
      </c>
      <c r="K49" s="290" t="s">
        <v>2016</v>
      </c>
      <c r="L49" s="290" t="s">
        <v>2017</v>
      </c>
      <c r="M49" s="290" t="s">
        <v>2016</v>
      </c>
      <c r="N49" s="291" t="s">
        <v>1670</v>
      </c>
      <c r="O49" s="291" t="s">
        <v>2018</v>
      </c>
      <c r="P49" s="291" t="s">
        <v>256</v>
      </c>
      <c r="Q49" s="291" t="s">
        <v>2018</v>
      </c>
      <c r="R49" s="291" t="s">
        <v>2019</v>
      </c>
      <c r="S49" s="291" t="s">
        <v>2020</v>
      </c>
      <c r="T49" s="292" t="s">
        <v>1674</v>
      </c>
      <c r="U49" s="292" t="s">
        <v>2021</v>
      </c>
      <c r="V49" s="292" t="s">
        <v>256</v>
      </c>
      <c r="W49" s="292" t="s">
        <v>2021</v>
      </c>
      <c r="X49" s="292" t="s">
        <v>2022</v>
      </c>
      <c r="Y49" s="292" t="s">
        <v>2023</v>
      </c>
      <c r="Z49" s="293" t="s">
        <v>2024</v>
      </c>
      <c r="AA49" s="293" t="s">
        <v>2025</v>
      </c>
      <c r="AB49" s="293" t="s">
        <v>2026</v>
      </c>
      <c r="AC49" s="294">
        <v>7.5999999999999998E-2</v>
      </c>
      <c r="AD49" s="5"/>
      <c r="AF49" s="7" t="e">
        <f>IF(C49="","",VLOOKUP(C49,[3]listaBolsa!$D$2:$BB$276,51,0))</f>
        <v>#N/A</v>
      </c>
      <c r="BG49" s="7">
        <v>41</v>
      </c>
      <c r="CA49" s="7" t="e">
        <f>VLOOKUP(C49,[3]listaBolsa!$D$2:$BA$1248,1,0)</f>
        <v>#N/A</v>
      </c>
      <c r="CB49" s="7" t="e">
        <f>VLOOKUP(C49,[3]listaBolsa!$D$2:$BA$1248,2,0)</f>
        <v>#N/A</v>
      </c>
      <c r="CC49" s="7" t="e">
        <f>VLOOKUP(C49,[3]listaBolsa!$D$2:$BA$1248,10,0)</f>
        <v>#N/A</v>
      </c>
      <c r="CD49" s="7" t="e">
        <f>VLOOKUP(C49,[3]listaBolsa!$D$2:$BA$1248,14,0)</f>
        <v>#N/A</v>
      </c>
      <c r="CE49" s="7" t="e">
        <f>VLOOKUP(C49,[3]listaBolsa!$D$2:$BA$1248,23,0)</f>
        <v>#N/A</v>
      </c>
      <c r="CF49" s="7" t="e">
        <f>VLOOKUP(C49,[3]listaBolsa!$D$2:$BA$1248,29,0)</f>
        <v>#N/A</v>
      </c>
      <c r="CG49" s="7" t="e">
        <f>VLOOKUP(C49,[3]listaBolsa!$D$2:$BA$1248,36,0)</f>
        <v>#N/A</v>
      </c>
      <c r="CH49" s="7" t="e">
        <f>VLOOKUP(C49,[3]listaBolsa!$D$2:$BA$1248,40,0)</f>
        <v>#N/A</v>
      </c>
      <c r="CI49" s="7" t="e">
        <f>VLOOKUP(C49,[3]listaBolsa!$D$2:$BA$1248,48,0)</f>
        <v>#N/A</v>
      </c>
      <c r="CJ49" s="7" t="e">
        <f t="shared" si="6"/>
        <v>#N/A</v>
      </c>
      <c r="CK49" s="7" t="e">
        <f t="shared" si="6"/>
        <v>#N/A</v>
      </c>
      <c r="CL49" s="7" t="e">
        <f t="shared" si="7"/>
        <v>#N/A</v>
      </c>
      <c r="CM49" s="7" t="e">
        <f t="shared" si="7"/>
        <v>#N/A</v>
      </c>
      <c r="CN49" s="7" t="e">
        <f t="shared" si="8"/>
        <v>#N/A</v>
      </c>
      <c r="CO49" s="7" t="e">
        <f t="shared" si="8"/>
        <v>#N/A</v>
      </c>
      <c r="CP49" s="7" t="e">
        <f t="shared" si="9"/>
        <v>#N/A</v>
      </c>
      <c r="CQ49" s="7" t="e">
        <f t="shared" si="9"/>
        <v>#N/A</v>
      </c>
      <c r="CR49" s="7" t="e">
        <f t="shared" si="5"/>
        <v>#N/A</v>
      </c>
    </row>
    <row r="50" spans="1:96" s="7" customFormat="1" ht="117">
      <c r="A50" s="75">
        <f t="shared" si="0"/>
        <v>42</v>
      </c>
      <c r="B50" s="210" t="s">
        <v>1491</v>
      </c>
      <c r="C50" s="218" t="s">
        <v>2027</v>
      </c>
      <c r="D50" s="219" t="s">
        <v>2028</v>
      </c>
      <c r="E50" s="211" t="s">
        <v>185</v>
      </c>
      <c r="F50" s="207">
        <v>1</v>
      </c>
      <c r="G50" s="205" t="s">
        <v>186</v>
      </c>
      <c r="H50" s="289" t="s">
        <v>1666</v>
      </c>
      <c r="I50" s="290" t="s">
        <v>1738</v>
      </c>
      <c r="J50" s="290" t="s">
        <v>256</v>
      </c>
      <c r="K50" s="290" t="s">
        <v>2029</v>
      </c>
      <c r="L50" s="290" t="s">
        <v>2030</v>
      </c>
      <c r="M50" s="290" t="s">
        <v>2029</v>
      </c>
      <c r="N50" s="291" t="s">
        <v>1670</v>
      </c>
      <c r="O50" s="291" t="s">
        <v>2031</v>
      </c>
      <c r="P50" s="291" t="s">
        <v>256</v>
      </c>
      <c r="Q50" s="291" t="s">
        <v>2031</v>
      </c>
      <c r="R50" s="291" t="s">
        <v>2032</v>
      </c>
      <c r="S50" s="291" t="s">
        <v>2033</v>
      </c>
      <c r="T50" s="292" t="s">
        <v>1674</v>
      </c>
      <c r="U50" s="292" t="s">
        <v>1732</v>
      </c>
      <c r="V50" s="292" t="s">
        <v>256</v>
      </c>
      <c r="W50" s="292" t="s">
        <v>1732</v>
      </c>
      <c r="X50" s="292" t="s">
        <v>1733</v>
      </c>
      <c r="Y50" s="292" t="s">
        <v>1734</v>
      </c>
      <c r="Z50" s="293" t="s">
        <v>2034</v>
      </c>
      <c r="AA50" s="293" t="s">
        <v>2035</v>
      </c>
      <c r="AB50" s="293" t="s">
        <v>2036</v>
      </c>
      <c r="AC50" s="294">
        <v>0.17630000000000001</v>
      </c>
      <c r="AD50" s="5"/>
      <c r="AF50" s="7" t="e">
        <f>IF(C50="","",VLOOKUP(C50,[3]listaBolsa!$D$2:$BB$276,51,0))</f>
        <v>#N/A</v>
      </c>
      <c r="BG50" s="7">
        <v>42</v>
      </c>
      <c r="CA50" s="7" t="e">
        <f>VLOOKUP(C50,[3]listaBolsa!$D$2:$BA$1248,1,0)</f>
        <v>#N/A</v>
      </c>
      <c r="CB50" s="7" t="e">
        <f>VLOOKUP(C50,[3]listaBolsa!$D$2:$BA$1248,2,0)</f>
        <v>#N/A</v>
      </c>
      <c r="CC50" s="7" t="e">
        <f>VLOOKUP(C50,[3]listaBolsa!$D$2:$BA$1248,10,0)</f>
        <v>#N/A</v>
      </c>
      <c r="CD50" s="7" t="e">
        <f>VLOOKUP(C50,[3]listaBolsa!$D$2:$BA$1248,14,0)</f>
        <v>#N/A</v>
      </c>
      <c r="CE50" s="7" t="e">
        <f>VLOOKUP(C50,[3]listaBolsa!$D$2:$BA$1248,23,0)</f>
        <v>#N/A</v>
      </c>
      <c r="CF50" s="7" t="e">
        <f>VLOOKUP(C50,[3]listaBolsa!$D$2:$BA$1248,29,0)</f>
        <v>#N/A</v>
      </c>
      <c r="CG50" s="7" t="e">
        <f>VLOOKUP(C50,[3]listaBolsa!$D$2:$BA$1248,36,0)</f>
        <v>#N/A</v>
      </c>
      <c r="CH50" s="7" t="e">
        <f>VLOOKUP(C50,[3]listaBolsa!$D$2:$BA$1248,40,0)</f>
        <v>#N/A</v>
      </c>
      <c r="CI50" s="7" t="e">
        <f>VLOOKUP(C50,[3]listaBolsa!$D$2:$BA$1248,48,0)</f>
        <v>#N/A</v>
      </c>
      <c r="CJ50" s="7" t="e">
        <f t="shared" si="6"/>
        <v>#N/A</v>
      </c>
      <c r="CK50" s="7" t="e">
        <f t="shared" si="6"/>
        <v>#N/A</v>
      </c>
      <c r="CL50" s="7" t="e">
        <f t="shared" si="7"/>
        <v>#N/A</v>
      </c>
      <c r="CM50" s="7" t="e">
        <f t="shared" si="7"/>
        <v>#N/A</v>
      </c>
      <c r="CN50" s="7" t="e">
        <f t="shared" si="8"/>
        <v>#N/A</v>
      </c>
      <c r="CO50" s="7" t="e">
        <f t="shared" si="8"/>
        <v>#N/A</v>
      </c>
      <c r="CP50" s="7" t="e">
        <f t="shared" si="9"/>
        <v>#N/A</v>
      </c>
      <c r="CQ50" s="7" t="e">
        <f t="shared" si="9"/>
        <v>#N/A</v>
      </c>
      <c r="CR50" s="7" t="e">
        <f t="shared" si="5"/>
        <v>#N/A</v>
      </c>
    </row>
    <row r="51" spans="1:96" s="7" customFormat="1" ht="117">
      <c r="A51" s="75">
        <f t="shared" si="0"/>
        <v>43</v>
      </c>
      <c r="B51" s="210" t="s">
        <v>1491</v>
      </c>
      <c r="C51" s="218" t="s">
        <v>2037</v>
      </c>
      <c r="D51" s="219" t="s">
        <v>2038</v>
      </c>
      <c r="E51" s="211" t="s">
        <v>185</v>
      </c>
      <c r="F51" s="207">
        <v>1</v>
      </c>
      <c r="G51" s="205" t="s">
        <v>186</v>
      </c>
      <c r="H51" s="289" t="s">
        <v>1666</v>
      </c>
      <c r="I51" s="290" t="s">
        <v>2039</v>
      </c>
      <c r="J51" s="290" t="s">
        <v>2040</v>
      </c>
      <c r="K51" s="290" t="s">
        <v>2041</v>
      </c>
      <c r="L51" s="290" t="s">
        <v>2042</v>
      </c>
      <c r="M51" s="290" t="s">
        <v>2041</v>
      </c>
      <c r="N51" s="291" t="s">
        <v>1670</v>
      </c>
      <c r="O51" s="291" t="s">
        <v>2043</v>
      </c>
      <c r="P51" s="291" t="s">
        <v>2044</v>
      </c>
      <c r="Q51" s="291" t="s">
        <v>2045</v>
      </c>
      <c r="R51" s="291" t="s">
        <v>2046</v>
      </c>
      <c r="S51" s="291" t="s">
        <v>2047</v>
      </c>
      <c r="T51" s="292" t="s">
        <v>1674</v>
      </c>
      <c r="U51" s="292" t="s">
        <v>2048</v>
      </c>
      <c r="V51" s="292" t="s">
        <v>2049</v>
      </c>
      <c r="W51" s="292" t="s">
        <v>2050</v>
      </c>
      <c r="X51" s="292" t="s">
        <v>2051</v>
      </c>
      <c r="Y51" s="292" t="s">
        <v>2052</v>
      </c>
      <c r="Z51" s="293" t="s">
        <v>2053</v>
      </c>
      <c r="AA51" s="293" t="s">
        <v>2054</v>
      </c>
      <c r="AB51" s="293" t="s">
        <v>2055</v>
      </c>
      <c r="AC51" s="294">
        <v>5.5100000000000003E-2</v>
      </c>
      <c r="AD51" s="5"/>
      <c r="AF51" s="7" t="e">
        <f>IF(C51="","",VLOOKUP(C51,[3]listaBolsa!$D$2:$BB$276,51,0))</f>
        <v>#N/A</v>
      </c>
      <c r="BG51" s="7">
        <v>43</v>
      </c>
      <c r="CA51" s="7" t="e">
        <f>VLOOKUP(C51,[3]listaBolsa!$D$2:$BA$1248,1,0)</f>
        <v>#N/A</v>
      </c>
      <c r="CB51" s="7" t="e">
        <f>VLOOKUP(C51,[3]listaBolsa!$D$2:$BA$1248,2,0)</f>
        <v>#N/A</v>
      </c>
      <c r="CC51" s="7" t="e">
        <f>VLOOKUP(C51,[3]listaBolsa!$D$2:$BA$1248,10,0)</f>
        <v>#N/A</v>
      </c>
      <c r="CD51" s="7" t="e">
        <f>VLOOKUP(C51,[3]listaBolsa!$D$2:$BA$1248,14,0)</f>
        <v>#N/A</v>
      </c>
      <c r="CE51" s="7" t="e">
        <f>VLOOKUP(C51,[3]listaBolsa!$D$2:$BA$1248,23,0)</f>
        <v>#N/A</v>
      </c>
      <c r="CF51" s="7" t="e">
        <f>VLOOKUP(C51,[3]listaBolsa!$D$2:$BA$1248,29,0)</f>
        <v>#N/A</v>
      </c>
      <c r="CG51" s="7" t="e">
        <f>VLOOKUP(C51,[3]listaBolsa!$D$2:$BA$1248,36,0)</f>
        <v>#N/A</v>
      </c>
      <c r="CH51" s="7" t="e">
        <f>VLOOKUP(C51,[3]listaBolsa!$D$2:$BA$1248,40,0)</f>
        <v>#N/A</v>
      </c>
      <c r="CI51" s="7" t="e">
        <f>VLOOKUP(C51,[3]listaBolsa!$D$2:$BA$1248,48,0)</f>
        <v>#N/A</v>
      </c>
      <c r="CJ51" s="7" t="e">
        <f t="shared" si="6"/>
        <v>#N/A</v>
      </c>
      <c r="CK51" s="7" t="e">
        <f t="shared" si="6"/>
        <v>#N/A</v>
      </c>
      <c r="CL51" s="7" t="e">
        <f t="shared" si="7"/>
        <v>#N/A</v>
      </c>
      <c r="CM51" s="7" t="e">
        <f t="shared" si="7"/>
        <v>#N/A</v>
      </c>
      <c r="CN51" s="7" t="e">
        <f t="shared" si="8"/>
        <v>#N/A</v>
      </c>
      <c r="CO51" s="7" t="e">
        <f t="shared" si="8"/>
        <v>#N/A</v>
      </c>
      <c r="CP51" s="7" t="e">
        <f t="shared" si="9"/>
        <v>#N/A</v>
      </c>
      <c r="CQ51" s="7" t="e">
        <f t="shared" si="9"/>
        <v>#N/A</v>
      </c>
      <c r="CR51" s="7" t="e">
        <f t="shared" si="5"/>
        <v>#N/A</v>
      </c>
    </row>
    <row r="52" spans="1:96" s="7" customFormat="1" ht="117">
      <c r="A52" s="75">
        <f t="shared" si="0"/>
        <v>44</v>
      </c>
      <c r="B52" s="210" t="s">
        <v>1491</v>
      </c>
      <c r="C52" s="218" t="s">
        <v>2056</v>
      </c>
      <c r="D52" s="219" t="s">
        <v>2057</v>
      </c>
      <c r="E52" s="211" t="s">
        <v>185</v>
      </c>
      <c r="F52" s="207">
        <v>1</v>
      </c>
      <c r="G52" s="205" t="s">
        <v>186</v>
      </c>
      <c r="H52" s="289" t="s">
        <v>2058</v>
      </c>
      <c r="I52" s="290" t="s">
        <v>2059</v>
      </c>
      <c r="J52" s="290" t="s">
        <v>2060</v>
      </c>
      <c r="K52" s="290" t="s">
        <v>2061</v>
      </c>
      <c r="L52" s="290" t="s">
        <v>2062</v>
      </c>
      <c r="M52" s="290" t="s">
        <v>2061</v>
      </c>
      <c r="N52" s="291" t="s">
        <v>2063</v>
      </c>
      <c r="O52" s="291" t="s">
        <v>2064</v>
      </c>
      <c r="P52" s="291" t="s">
        <v>2065</v>
      </c>
      <c r="Q52" s="291" t="s">
        <v>2066</v>
      </c>
      <c r="R52" s="291" t="s">
        <v>2067</v>
      </c>
      <c r="S52" s="291" t="s">
        <v>2068</v>
      </c>
      <c r="T52" s="292" t="s">
        <v>2069</v>
      </c>
      <c r="U52" s="292" t="s">
        <v>2070</v>
      </c>
      <c r="V52" s="292" t="s">
        <v>2071</v>
      </c>
      <c r="W52" s="292" t="s">
        <v>2072</v>
      </c>
      <c r="X52" s="292" t="s">
        <v>2073</v>
      </c>
      <c r="Y52" s="292" t="s">
        <v>2074</v>
      </c>
      <c r="Z52" s="293" t="s">
        <v>2075</v>
      </c>
      <c r="AA52" s="293" t="s">
        <v>2076</v>
      </c>
      <c r="AB52" s="293" t="s">
        <v>2077</v>
      </c>
      <c r="AC52" s="294">
        <v>0.14990000000000001</v>
      </c>
      <c r="AD52" s="5"/>
      <c r="AF52" s="7" t="e">
        <f>IF(C52="","",VLOOKUP(C52,[3]listaBolsa!$D$2:$BB$276,51,0))</f>
        <v>#N/A</v>
      </c>
      <c r="BG52" s="7">
        <v>44</v>
      </c>
      <c r="CA52" s="7" t="e">
        <f>VLOOKUP(C52,[3]listaBolsa!$D$2:$BA$1248,1,0)</f>
        <v>#N/A</v>
      </c>
      <c r="CB52" s="7" t="e">
        <f>VLOOKUP(C52,[3]listaBolsa!$D$2:$BA$1248,2,0)</f>
        <v>#N/A</v>
      </c>
      <c r="CC52" s="7" t="e">
        <f>VLOOKUP(C52,[3]listaBolsa!$D$2:$BA$1248,10,0)</f>
        <v>#N/A</v>
      </c>
      <c r="CD52" s="7" t="e">
        <f>VLOOKUP(C52,[3]listaBolsa!$D$2:$BA$1248,14,0)</f>
        <v>#N/A</v>
      </c>
      <c r="CE52" s="7" t="e">
        <f>VLOOKUP(C52,[3]listaBolsa!$D$2:$BA$1248,23,0)</f>
        <v>#N/A</v>
      </c>
      <c r="CF52" s="7" t="e">
        <f>VLOOKUP(C52,[3]listaBolsa!$D$2:$BA$1248,29,0)</f>
        <v>#N/A</v>
      </c>
      <c r="CG52" s="7" t="e">
        <f>VLOOKUP(C52,[3]listaBolsa!$D$2:$BA$1248,36,0)</f>
        <v>#N/A</v>
      </c>
      <c r="CH52" s="7" t="e">
        <f>VLOOKUP(C52,[3]listaBolsa!$D$2:$BA$1248,40,0)</f>
        <v>#N/A</v>
      </c>
      <c r="CI52" s="7" t="e">
        <f>VLOOKUP(C52,[3]listaBolsa!$D$2:$BA$1248,48,0)</f>
        <v>#N/A</v>
      </c>
      <c r="CJ52" s="7" t="e">
        <f t="shared" si="6"/>
        <v>#N/A</v>
      </c>
      <c r="CK52" s="7" t="e">
        <f t="shared" si="6"/>
        <v>#N/A</v>
      </c>
      <c r="CL52" s="7" t="e">
        <f t="shared" si="7"/>
        <v>#N/A</v>
      </c>
      <c r="CM52" s="7" t="e">
        <f t="shared" si="7"/>
        <v>#N/A</v>
      </c>
      <c r="CN52" s="7" t="e">
        <f t="shared" si="8"/>
        <v>#N/A</v>
      </c>
      <c r="CO52" s="7" t="e">
        <f t="shared" si="8"/>
        <v>#N/A</v>
      </c>
      <c r="CP52" s="7" t="e">
        <f t="shared" si="9"/>
        <v>#N/A</v>
      </c>
      <c r="CQ52" s="7" t="e">
        <f t="shared" si="9"/>
        <v>#N/A</v>
      </c>
      <c r="CR52" s="7" t="e">
        <f t="shared" si="5"/>
        <v>#N/A</v>
      </c>
    </row>
    <row r="53" spans="1:96" s="7" customFormat="1" ht="117">
      <c r="A53" s="75">
        <f t="shared" si="0"/>
        <v>45</v>
      </c>
      <c r="B53" s="210" t="s">
        <v>1491</v>
      </c>
      <c r="C53" s="218" t="s">
        <v>2078</v>
      </c>
      <c r="D53" s="219" t="s">
        <v>2079</v>
      </c>
      <c r="E53" s="211" t="s">
        <v>185</v>
      </c>
      <c r="F53" s="207">
        <v>1</v>
      </c>
      <c r="G53" s="205" t="s">
        <v>186</v>
      </c>
      <c r="H53" s="289" t="s">
        <v>1674</v>
      </c>
      <c r="I53" s="350">
        <v>7140</v>
      </c>
      <c r="J53" s="351">
        <v>1357</v>
      </c>
      <c r="K53" s="351">
        <v>8497</v>
      </c>
      <c r="L53" s="351">
        <v>7140</v>
      </c>
      <c r="M53" s="351">
        <v>8497</v>
      </c>
      <c r="N53" s="291" t="s">
        <v>1670</v>
      </c>
      <c r="O53" s="352">
        <v>8500</v>
      </c>
      <c r="P53" s="352">
        <v>1615</v>
      </c>
      <c r="Q53" s="352">
        <v>10115</v>
      </c>
      <c r="R53" s="352">
        <v>8500</v>
      </c>
      <c r="S53" s="352">
        <v>10115</v>
      </c>
      <c r="T53" s="292" t="s">
        <v>1666</v>
      </c>
      <c r="U53" s="353">
        <v>8300</v>
      </c>
      <c r="V53" s="353">
        <v>1577</v>
      </c>
      <c r="W53" s="353">
        <v>9877</v>
      </c>
      <c r="X53" s="353">
        <v>8300</v>
      </c>
      <c r="Y53" s="353">
        <v>9877</v>
      </c>
      <c r="Z53" s="246">
        <v>9496.1999999999989</v>
      </c>
      <c r="AA53" s="246">
        <v>9496.1999999999989</v>
      </c>
      <c r="AB53" s="247">
        <v>873.81984413264479</v>
      </c>
      <c r="AC53" s="248">
        <v>9.2017843361833676E-2</v>
      </c>
      <c r="AD53" s="5"/>
      <c r="AF53" s="7" t="e">
        <f>IF(C53="","",VLOOKUP(C53,[3]listaBolsa!$D$2:$BB$276,51,0))</f>
        <v>#N/A</v>
      </c>
      <c r="BG53" s="7">
        <v>45</v>
      </c>
      <c r="CA53" s="7" t="e">
        <f>VLOOKUP(C53,[3]listaBolsa!$D$2:$BA$1248,1,0)</f>
        <v>#N/A</v>
      </c>
      <c r="CB53" s="7" t="e">
        <f>VLOOKUP(C53,[3]listaBolsa!$D$2:$BA$1248,2,0)</f>
        <v>#N/A</v>
      </c>
      <c r="CC53" s="7" t="e">
        <f>VLOOKUP(C53,[3]listaBolsa!$D$2:$BA$1248,10,0)</f>
        <v>#N/A</v>
      </c>
      <c r="CD53" s="7" t="e">
        <f>VLOOKUP(C53,[3]listaBolsa!$D$2:$BA$1248,14,0)</f>
        <v>#N/A</v>
      </c>
      <c r="CE53" s="7" t="e">
        <f>VLOOKUP(C53,[3]listaBolsa!$D$2:$BA$1248,23,0)</f>
        <v>#N/A</v>
      </c>
      <c r="CF53" s="7" t="e">
        <f>VLOOKUP(C53,[3]listaBolsa!$D$2:$BA$1248,29,0)</f>
        <v>#N/A</v>
      </c>
      <c r="CG53" s="7" t="e">
        <f>VLOOKUP(C53,[3]listaBolsa!$D$2:$BA$1248,36,0)</f>
        <v>#N/A</v>
      </c>
      <c r="CH53" s="7" t="e">
        <f>VLOOKUP(C53,[3]listaBolsa!$D$2:$BA$1248,40,0)</f>
        <v>#N/A</v>
      </c>
      <c r="CI53" s="7" t="e">
        <f>VLOOKUP(C53,[3]listaBolsa!$D$2:$BA$1248,48,0)</f>
        <v>#N/A</v>
      </c>
      <c r="CJ53" s="7" t="e">
        <f t="shared" si="6"/>
        <v>#N/A</v>
      </c>
      <c r="CK53" s="7" t="e">
        <f t="shared" si="6"/>
        <v>#N/A</v>
      </c>
      <c r="CL53" s="7" t="e">
        <f t="shared" si="7"/>
        <v>#N/A</v>
      </c>
      <c r="CM53" s="7" t="e">
        <f t="shared" si="7"/>
        <v>#N/A</v>
      </c>
      <c r="CN53" s="7" t="e">
        <f t="shared" si="8"/>
        <v>#N/A</v>
      </c>
      <c r="CO53" s="7" t="e">
        <f t="shared" si="8"/>
        <v>#N/A</v>
      </c>
      <c r="CP53" s="7" t="e">
        <f t="shared" si="9"/>
        <v>#N/A</v>
      </c>
      <c r="CQ53" s="7" t="e">
        <f t="shared" si="9"/>
        <v>#N/A</v>
      </c>
      <c r="CR53" s="7" t="e">
        <f t="shared" si="5"/>
        <v>#N/A</v>
      </c>
    </row>
    <row r="54" spans="1:96" s="7" customFormat="1" ht="117">
      <c r="A54" s="75">
        <f t="shared" si="0"/>
        <v>46</v>
      </c>
      <c r="B54" s="210" t="s">
        <v>1491</v>
      </c>
      <c r="C54" s="218" t="s">
        <v>2080</v>
      </c>
      <c r="D54" s="219" t="s">
        <v>2081</v>
      </c>
      <c r="E54" s="211" t="s">
        <v>185</v>
      </c>
      <c r="F54" s="207">
        <v>1</v>
      </c>
      <c r="G54" s="205" t="s">
        <v>186</v>
      </c>
      <c r="H54" s="289" t="s">
        <v>1666</v>
      </c>
      <c r="I54" s="290" t="s">
        <v>2082</v>
      </c>
      <c r="J54" s="290" t="s">
        <v>2083</v>
      </c>
      <c r="K54" s="290" t="s">
        <v>2084</v>
      </c>
      <c r="L54" s="290" t="s">
        <v>2085</v>
      </c>
      <c r="M54" s="290" t="s">
        <v>2084</v>
      </c>
      <c r="N54" s="291" t="s">
        <v>1670</v>
      </c>
      <c r="O54" s="291" t="s">
        <v>2086</v>
      </c>
      <c r="P54" s="291" t="s">
        <v>2087</v>
      </c>
      <c r="Q54" s="291" t="s">
        <v>2088</v>
      </c>
      <c r="R54" s="291" t="s">
        <v>2089</v>
      </c>
      <c r="S54" s="291" t="s">
        <v>2090</v>
      </c>
      <c r="T54" s="292" t="s">
        <v>1674</v>
      </c>
      <c r="U54" s="292" t="s">
        <v>2091</v>
      </c>
      <c r="V54" s="292" t="s">
        <v>2092</v>
      </c>
      <c r="W54" s="292" t="s">
        <v>2093</v>
      </c>
      <c r="X54" s="292" t="s">
        <v>2094</v>
      </c>
      <c r="Y54" s="292" t="s">
        <v>2095</v>
      </c>
      <c r="Z54" s="246">
        <v>58151.333333333336</v>
      </c>
      <c r="AA54" s="246">
        <v>58151.333333333336</v>
      </c>
      <c r="AB54" s="247">
        <v>1434.5958780553265</v>
      </c>
      <c r="AC54" s="248">
        <v>2.4670042728547233E-2</v>
      </c>
      <c r="AD54" s="5"/>
      <c r="AF54" s="7" t="e">
        <f>IF(C54="","",VLOOKUP(C54,[3]listaBolsa!$D$2:$BB$276,51,0))</f>
        <v>#N/A</v>
      </c>
      <c r="BG54" s="7">
        <v>46</v>
      </c>
      <c r="CA54" s="7" t="e">
        <f>VLOOKUP(C54,[3]listaBolsa!$D$2:$BA$1248,1,0)</f>
        <v>#N/A</v>
      </c>
      <c r="CB54" s="7" t="e">
        <f>VLOOKUP(C54,[3]listaBolsa!$D$2:$BA$1248,2,0)</f>
        <v>#N/A</v>
      </c>
      <c r="CC54" s="7" t="e">
        <f>VLOOKUP(C54,[3]listaBolsa!$D$2:$BA$1248,10,0)</f>
        <v>#N/A</v>
      </c>
      <c r="CD54" s="7" t="e">
        <f>VLOOKUP(C54,[3]listaBolsa!$D$2:$BA$1248,14,0)</f>
        <v>#N/A</v>
      </c>
      <c r="CE54" s="7" t="e">
        <f>VLOOKUP(C54,[3]listaBolsa!$D$2:$BA$1248,23,0)</f>
        <v>#N/A</v>
      </c>
      <c r="CF54" s="7" t="e">
        <f>VLOOKUP(C54,[3]listaBolsa!$D$2:$BA$1248,29,0)</f>
        <v>#N/A</v>
      </c>
      <c r="CG54" s="7" t="e">
        <f>VLOOKUP(C54,[3]listaBolsa!$D$2:$BA$1248,36,0)</f>
        <v>#N/A</v>
      </c>
      <c r="CH54" s="7" t="e">
        <f>VLOOKUP(C54,[3]listaBolsa!$D$2:$BA$1248,40,0)</f>
        <v>#N/A</v>
      </c>
      <c r="CI54" s="7" t="e">
        <f>VLOOKUP(C54,[3]listaBolsa!$D$2:$BA$1248,48,0)</f>
        <v>#N/A</v>
      </c>
      <c r="CJ54" s="7" t="e">
        <f t="shared" si="6"/>
        <v>#N/A</v>
      </c>
      <c r="CK54" s="7" t="e">
        <f t="shared" si="6"/>
        <v>#N/A</v>
      </c>
      <c r="CL54" s="7" t="e">
        <f t="shared" si="7"/>
        <v>#N/A</v>
      </c>
      <c r="CM54" s="7" t="e">
        <f t="shared" si="7"/>
        <v>#N/A</v>
      </c>
      <c r="CN54" s="7" t="e">
        <f t="shared" si="8"/>
        <v>#N/A</v>
      </c>
      <c r="CO54" s="7" t="e">
        <f t="shared" si="8"/>
        <v>#N/A</v>
      </c>
      <c r="CP54" s="7" t="e">
        <f t="shared" si="9"/>
        <v>#N/A</v>
      </c>
      <c r="CQ54" s="7" t="e">
        <f t="shared" si="9"/>
        <v>#N/A</v>
      </c>
      <c r="CR54" s="7" t="e">
        <f t="shared" si="5"/>
        <v>#N/A</v>
      </c>
    </row>
    <row r="55" spans="1:96" s="7" customFormat="1" ht="117">
      <c r="A55" s="75">
        <f t="shared" si="0"/>
        <v>47</v>
      </c>
      <c r="B55" s="210" t="s">
        <v>1491</v>
      </c>
      <c r="C55" s="218" t="s">
        <v>2096</v>
      </c>
      <c r="D55" s="219" t="s">
        <v>2097</v>
      </c>
      <c r="E55" s="211" t="s">
        <v>185</v>
      </c>
      <c r="F55" s="207">
        <v>1</v>
      </c>
      <c r="G55" s="205" t="s">
        <v>186</v>
      </c>
      <c r="H55" s="289" t="s">
        <v>1666</v>
      </c>
      <c r="I55" s="290" t="s">
        <v>2015</v>
      </c>
      <c r="J55" s="290" t="s">
        <v>256</v>
      </c>
      <c r="K55" s="290" t="s">
        <v>2016</v>
      </c>
      <c r="L55" s="290" t="s">
        <v>2017</v>
      </c>
      <c r="M55" s="290" t="s">
        <v>2016</v>
      </c>
      <c r="N55" s="291" t="s">
        <v>1670</v>
      </c>
      <c r="O55" s="291" t="s">
        <v>2098</v>
      </c>
      <c r="P55" s="291" t="s">
        <v>256</v>
      </c>
      <c r="Q55" s="291" t="s">
        <v>2098</v>
      </c>
      <c r="R55" s="291" t="s">
        <v>2099</v>
      </c>
      <c r="S55" s="291" t="s">
        <v>2100</v>
      </c>
      <c r="T55" s="292" t="s">
        <v>1674</v>
      </c>
      <c r="U55" s="292" t="s">
        <v>2018</v>
      </c>
      <c r="V55" s="292" t="s">
        <v>256</v>
      </c>
      <c r="W55" s="292" t="s">
        <v>2018</v>
      </c>
      <c r="X55" s="292" t="s">
        <v>2019</v>
      </c>
      <c r="Y55" s="292" t="s">
        <v>2020</v>
      </c>
      <c r="Z55" s="246">
        <v>26333.333333333332</v>
      </c>
      <c r="AA55" s="246">
        <v>26333.333333333332</v>
      </c>
      <c r="AB55" s="247">
        <v>1527.5252316519466</v>
      </c>
      <c r="AC55" s="248">
        <v>5.8007287277922023E-2</v>
      </c>
      <c r="AD55" s="5"/>
      <c r="AF55" s="7" t="e">
        <f>IF(C55="","",VLOOKUP(C55,[3]listaBolsa!$D$2:$BB$276,51,0))</f>
        <v>#N/A</v>
      </c>
      <c r="BG55" s="7">
        <v>47</v>
      </c>
      <c r="CA55" s="7" t="e">
        <f>VLOOKUP(C55,[3]listaBolsa!$D$2:$BA$1248,1,0)</f>
        <v>#N/A</v>
      </c>
      <c r="CB55" s="7" t="e">
        <f>VLOOKUP(C55,[3]listaBolsa!$D$2:$BA$1248,2,0)</f>
        <v>#N/A</v>
      </c>
      <c r="CC55" s="7" t="e">
        <f>VLOOKUP(C55,[3]listaBolsa!$D$2:$BA$1248,10,0)</f>
        <v>#N/A</v>
      </c>
      <c r="CD55" s="7" t="e">
        <f>VLOOKUP(C55,[3]listaBolsa!$D$2:$BA$1248,14,0)</f>
        <v>#N/A</v>
      </c>
      <c r="CE55" s="7" t="e">
        <f>VLOOKUP(C55,[3]listaBolsa!$D$2:$BA$1248,23,0)</f>
        <v>#N/A</v>
      </c>
      <c r="CF55" s="7" t="e">
        <f>VLOOKUP(C55,[3]listaBolsa!$D$2:$BA$1248,29,0)</f>
        <v>#N/A</v>
      </c>
      <c r="CG55" s="7" t="e">
        <f>VLOOKUP(C55,[3]listaBolsa!$D$2:$BA$1248,36,0)</f>
        <v>#N/A</v>
      </c>
      <c r="CH55" s="7" t="e">
        <f>VLOOKUP(C55,[3]listaBolsa!$D$2:$BA$1248,40,0)</f>
        <v>#N/A</v>
      </c>
      <c r="CI55" s="7" t="e">
        <f>VLOOKUP(C55,[3]listaBolsa!$D$2:$BA$1248,48,0)</f>
        <v>#N/A</v>
      </c>
      <c r="CJ55" s="7" t="e">
        <f t="shared" si="6"/>
        <v>#N/A</v>
      </c>
      <c r="CK55" s="7" t="e">
        <f t="shared" si="6"/>
        <v>#N/A</v>
      </c>
      <c r="CL55" s="7" t="e">
        <f t="shared" si="7"/>
        <v>#N/A</v>
      </c>
      <c r="CM55" s="7" t="e">
        <f t="shared" si="7"/>
        <v>#N/A</v>
      </c>
      <c r="CN55" s="7" t="e">
        <f t="shared" si="8"/>
        <v>#N/A</v>
      </c>
      <c r="CO55" s="7" t="e">
        <f t="shared" si="8"/>
        <v>#N/A</v>
      </c>
      <c r="CP55" s="7" t="e">
        <f t="shared" si="9"/>
        <v>#N/A</v>
      </c>
      <c r="CQ55" s="7" t="e">
        <f t="shared" si="9"/>
        <v>#N/A</v>
      </c>
      <c r="CR55" s="7" t="e">
        <f t="shared" si="5"/>
        <v>#N/A</v>
      </c>
    </row>
    <row r="56" spans="1:96" s="7" customFormat="1" ht="117">
      <c r="A56" s="75">
        <f t="shared" si="0"/>
        <v>48</v>
      </c>
      <c r="B56" s="210" t="s">
        <v>1491</v>
      </c>
      <c r="C56" s="218" t="s">
        <v>2101</v>
      </c>
      <c r="D56" s="219" t="s">
        <v>2102</v>
      </c>
      <c r="E56" s="211" t="s">
        <v>185</v>
      </c>
      <c r="F56" s="207">
        <v>1</v>
      </c>
      <c r="G56" s="205" t="s">
        <v>186</v>
      </c>
      <c r="H56" s="289" t="s">
        <v>1666</v>
      </c>
      <c r="I56" s="290" t="s">
        <v>2103</v>
      </c>
      <c r="J56" s="290" t="s">
        <v>256</v>
      </c>
      <c r="K56" s="290" t="s">
        <v>2104</v>
      </c>
      <c r="L56" s="290" t="s">
        <v>2105</v>
      </c>
      <c r="M56" s="290" t="s">
        <v>2104</v>
      </c>
      <c r="N56" s="291" t="s">
        <v>1670</v>
      </c>
      <c r="O56" s="291" t="s">
        <v>2106</v>
      </c>
      <c r="P56" s="291" t="s">
        <v>256</v>
      </c>
      <c r="Q56" s="291" t="s">
        <v>2106</v>
      </c>
      <c r="R56" s="291" t="s">
        <v>2107</v>
      </c>
      <c r="S56" s="291" t="s">
        <v>2108</v>
      </c>
      <c r="T56" s="292" t="s">
        <v>2109</v>
      </c>
      <c r="U56" s="292" t="s">
        <v>2110</v>
      </c>
      <c r="V56" s="292" t="s">
        <v>2111</v>
      </c>
      <c r="W56" s="292" t="s">
        <v>2112</v>
      </c>
      <c r="X56" s="292" t="s">
        <v>2113</v>
      </c>
      <c r="Y56" s="292" t="s">
        <v>2114</v>
      </c>
      <c r="Z56" s="246">
        <v>2200</v>
      </c>
      <c r="AA56" s="246">
        <v>2200</v>
      </c>
      <c r="AB56" s="247">
        <v>200.00000000000023</v>
      </c>
      <c r="AC56" s="248">
        <v>9.0909090909091009E-2</v>
      </c>
      <c r="AD56" s="5"/>
      <c r="AF56" s="7" t="e">
        <f>IF(C56="","",VLOOKUP(C56,[3]listaBolsa!$D$2:$BB$276,51,0))</f>
        <v>#N/A</v>
      </c>
      <c r="BG56" s="7">
        <v>48</v>
      </c>
      <c r="CA56" s="7" t="e">
        <f>VLOOKUP(C56,[3]listaBolsa!$D$2:$BA$1248,1,0)</f>
        <v>#N/A</v>
      </c>
      <c r="CB56" s="7" t="e">
        <f>VLOOKUP(C56,[3]listaBolsa!$D$2:$BA$1248,2,0)</f>
        <v>#N/A</v>
      </c>
      <c r="CC56" s="7" t="e">
        <f>VLOOKUP(C56,[3]listaBolsa!$D$2:$BA$1248,10,0)</f>
        <v>#N/A</v>
      </c>
      <c r="CD56" s="7" t="e">
        <f>VLOOKUP(C56,[3]listaBolsa!$D$2:$BA$1248,14,0)</f>
        <v>#N/A</v>
      </c>
      <c r="CE56" s="7" t="e">
        <f>VLOOKUP(C56,[3]listaBolsa!$D$2:$BA$1248,23,0)</f>
        <v>#N/A</v>
      </c>
      <c r="CF56" s="7" t="e">
        <f>VLOOKUP(C56,[3]listaBolsa!$D$2:$BA$1248,29,0)</f>
        <v>#N/A</v>
      </c>
      <c r="CG56" s="7" t="e">
        <f>VLOOKUP(C56,[3]listaBolsa!$D$2:$BA$1248,36,0)</f>
        <v>#N/A</v>
      </c>
      <c r="CH56" s="7" t="e">
        <f>VLOOKUP(C56,[3]listaBolsa!$D$2:$BA$1248,40,0)</f>
        <v>#N/A</v>
      </c>
      <c r="CI56" s="7" t="e">
        <f>VLOOKUP(C56,[3]listaBolsa!$D$2:$BA$1248,48,0)</f>
        <v>#N/A</v>
      </c>
      <c r="CJ56" s="7" t="e">
        <f t="shared" si="6"/>
        <v>#N/A</v>
      </c>
      <c r="CK56" s="7" t="e">
        <f t="shared" si="6"/>
        <v>#N/A</v>
      </c>
      <c r="CL56" s="7" t="e">
        <f t="shared" si="7"/>
        <v>#N/A</v>
      </c>
      <c r="CM56" s="7" t="e">
        <f t="shared" si="7"/>
        <v>#N/A</v>
      </c>
      <c r="CN56" s="7" t="e">
        <f t="shared" si="8"/>
        <v>#N/A</v>
      </c>
      <c r="CO56" s="7" t="e">
        <f t="shared" si="8"/>
        <v>#N/A</v>
      </c>
      <c r="CP56" s="7" t="e">
        <f t="shared" si="9"/>
        <v>#N/A</v>
      </c>
      <c r="CQ56" s="7" t="e">
        <f t="shared" si="9"/>
        <v>#N/A</v>
      </c>
      <c r="CR56" s="7" t="e">
        <f t="shared" si="5"/>
        <v>#N/A</v>
      </c>
    </row>
    <row r="57" spans="1:96" s="7" customFormat="1" ht="117">
      <c r="A57" s="75">
        <f t="shared" si="0"/>
        <v>49</v>
      </c>
      <c r="B57" s="210" t="s">
        <v>1491</v>
      </c>
      <c r="C57" s="218" t="s">
        <v>2115</v>
      </c>
      <c r="D57" s="219" t="s">
        <v>2116</v>
      </c>
      <c r="E57" s="211" t="s">
        <v>185</v>
      </c>
      <c r="F57" s="207">
        <v>1</v>
      </c>
      <c r="G57" s="205" t="s">
        <v>186</v>
      </c>
      <c r="H57" s="289" t="s">
        <v>1666</v>
      </c>
      <c r="I57" s="290" t="s">
        <v>2117</v>
      </c>
      <c r="J57" s="290" t="s">
        <v>2118</v>
      </c>
      <c r="K57" s="290" t="s">
        <v>2119</v>
      </c>
      <c r="L57" s="290" t="s">
        <v>2120</v>
      </c>
      <c r="M57" s="290" t="s">
        <v>2119</v>
      </c>
      <c r="N57" s="291" t="s">
        <v>1670</v>
      </c>
      <c r="O57" s="291" t="s">
        <v>2121</v>
      </c>
      <c r="P57" s="291" t="s">
        <v>2122</v>
      </c>
      <c r="Q57" s="291" t="s">
        <v>2123</v>
      </c>
      <c r="R57" s="291" t="s">
        <v>2124</v>
      </c>
      <c r="S57" s="291" t="s">
        <v>2125</v>
      </c>
      <c r="T57" s="292" t="s">
        <v>1674</v>
      </c>
      <c r="U57" s="292" t="s">
        <v>2126</v>
      </c>
      <c r="V57" s="292" t="s">
        <v>2127</v>
      </c>
      <c r="W57" s="292" t="s">
        <v>2128</v>
      </c>
      <c r="X57" s="292" t="s">
        <v>2129</v>
      </c>
      <c r="Y57" s="292" t="s">
        <v>2130</v>
      </c>
      <c r="Z57" s="246">
        <v>79190.001800000013</v>
      </c>
      <c r="AA57" s="246">
        <v>79190.001800000013</v>
      </c>
      <c r="AB57" s="247">
        <v>10365.289978288463</v>
      </c>
      <c r="AC57" s="248">
        <v>0.13089139717999679</v>
      </c>
      <c r="AD57" s="5"/>
      <c r="AF57" s="7" t="e">
        <f>IF(C57="","",VLOOKUP(C57,[3]listaBolsa!$D$2:$BB$276,51,0))</f>
        <v>#N/A</v>
      </c>
      <c r="BG57" s="7">
        <v>49</v>
      </c>
      <c r="CA57" s="7" t="e">
        <f>VLOOKUP(C57,[3]listaBolsa!$D$2:$BA$1248,1,0)</f>
        <v>#N/A</v>
      </c>
      <c r="CB57" s="7" t="e">
        <f>VLOOKUP(C57,[3]listaBolsa!$D$2:$BA$1248,2,0)</f>
        <v>#N/A</v>
      </c>
      <c r="CC57" s="7" t="e">
        <f>VLOOKUP(C57,[3]listaBolsa!$D$2:$BA$1248,10,0)</f>
        <v>#N/A</v>
      </c>
      <c r="CD57" s="7" t="e">
        <f>VLOOKUP(C57,[3]listaBolsa!$D$2:$BA$1248,14,0)</f>
        <v>#N/A</v>
      </c>
      <c r="CE57" s="7" t="e">
        <f>VLOOKUP(C57,[3]listaBolsa!$D$2:$BA$1248,23,0)</f>
        <v>#N/A</v>
      </c>
      <c r="CF57" s="7" t="e">
        <f>VLOOKUP(C57,[3]listaBolsa!$D$2:$BA$1248,29,0)</f>
        <v>#N/A</v>
      </c>
      <c r="CG57" s="7" t="e">
        <f>VLOOKUP(C57,[3]listaBolsa!$D$2:$BA$1248,36,0)</f>
        <v>#N/A</v>
      </c>
      <c r="CH57" s="7" t="e">
        <f>VLOOKUP(C57,[3]listaBolsa!$D$2:$BA$1248,40,0)</f>
        <v>#N/A</v>
      </c>
      <c r="CI57" s="7" t="e">
        <f>VLOOKUP(C57,[3]listaBolsa!$D$2:$BA$1248,48,0)</f>
        <v>#N/A</v>
      </c>
      <c r="CJ57" s="7" t="e">
        <f t="shared" si="6"/>
        <v>#N/A</v>
      </c>
      <c r="CK57" s="7" t="e">
        <f t="shared" si="6"/>
        <v>#N/A</v>
      </c>
      <c r="CL57" s="7" t="e">
        <f t="shared" si="7"/>
        <v>#N/A</v>
      </c>
      <c r="CM57" s="7" t="e">
        <f t="shared" si="7"/>
        <v>#N/A</v>
      </c>
      <c r="CN57" s="7" t="e">
        <f t="shared" si="8"/>
        <v>#N/A</v>
      </c>
      <c r="CO57" s="7" t="e">
        <f t="shared" si="8"/>
        <v>#N/A</v>
      </c>
      <c r="CP57" s="7" t="e">
        <f t="shared" si="9"/>
        <v>#N/A</v>
      </c>
      <c r="CQ57" s="7" t="e">
        <f t="shared" si="9"/>
        <v>#N/A</v>
      </c>
      <c r="CR57" s="7" t="e">
        <f t="shared" si="5"/>
        <v>#N/A</v>
      </c>
    </row>
    <row r="58" spans="1:96" s="7" customFormat="1" ht="117">
      <c r="A58" s="75">
        <f t="shared" si="0"/>
        <v>50</v>
      </c>
      <c r="B58" s="210" t="s">
        <v>1491</v>
      </c>
      <c r="C58" s="218" t="s">
        <v>2131</v>
      </c>
      <c r="D58" s="219" t="s">
        <v>2132</v>
      </c>
      <c r="E58" s="211" t="s">
        <v>185</v>
      </c>
      <c r="F58" s="207">
        <v>1</v>
      </c>
      <c r="G58" s="205" t="s">
        <v>186</v>
      </c>
      <c r="H58" s="289" t="s">
        <v>1666</v>
      </c>
      <c r="I58" s="290" t="s">
        <v>2133</v>
      </c>
      <c r="J58" s="290" t="s">
        <v>256</v>
      </c>
      <c r="K58" s="290" t="s">
        <v>2134</v>
      </c>
      <c r="L58" s="290" t="s">
        <v>2135</v>
      </c>
      <c r="M58" s="290" t="s">
        <v>2134</v>
      </c>
      <c r="N58" s="291" t="s">
        <v>1670</v>
      </c>
      <c r="O58" s="291" t="s">
        <v>2136</v>
      </c>
      <c r="P58" s="291" t="s">
        <v>256</v>
      </c>
      <c r="Q58" s="291" t="s">
        <v>2136</v>
      </c>
      <c r="R58" s="291" t="s">
        <v>2137</v>
      </c>
      <c r="S58" s="291" t="s">
        <v>2138</v>
      </c>
      <c r="T58" s="292" t="s">
        <v>1674</v>
      </c>
      <c r="U58" s="292" t="s">
        <v>1738</v>
      </c>
      <c r="V58" s="292" t="s">
        <v>256</v>
      </c>
      <c r="W58" s="292" t="s">
        <v>1738</v>
      </c>
      <c r="X58" s="292" t="s">
        <v>2139</v>
      </c>
      <c r="Y58" s="292" t="s">
        <v>1740</v>
      </c>
      <c r="Z58" s="246">
        <v>22000</v>
      </c>
      <c r="AA58" s="246">
        <v>22000</v>
      </c>
      <c r="AB58" s="247">
        <v>2000</v>
      </c>
      <c r="AC58" s="248">
        <v>9.0909090909090912E-2</v>
      </c>
      <c r="AD58" s="5"/>
      <c r="AF58" s="7" t="e">
        <f>IF(C58="","",VLOOKUP(C58,[3]listaBolsa!$D$2:$BB$276,51,0))</f>
        <v>#N/A</v>
      </c>
      <c r="BG58" s="7">
        <v>50</v>
      </c>
      <c r="CA58" s="7" t="e">
        <f>VLOOKUP(C58,[3]listaBolsa!$D$2:$BA$1248,1,0)</f>
        <v>#N/A</v>
      </c>
      <c r="CB58" s="7" t="e">
        <f>VLOOKUP(C58,[3]listaBolsa!$D$2:$BA$1248,2,0)</f>
        <v>#N/A</v>
      </c>
      <c r="CC58" s="7" t="e">
        <f>VLOOKUP(C58,[3]listaBolsa!$D$2:$BA$1248,10,0)</f>
        <v>#N/A</v>
      </c>
      <c r="CD58" s="7" t="e">
        <f>VLOOKUP(C58,[3]listaBolsa!$D$2:$BA$1248,14,0)</f>
        <v>#N/A</v>
      </c>
      <c r="CE58" s="7" t="e">
        <f>VLOOKUP(C58,[3]listaBolsa!$D$2:$BA$1248,23,0)</f>
        <v>#N/A</v>
      </c>
      <c r="CF58" s="7" t="e">
        <f>VLOOKUP(C58,[3]listaBolsa!$D$2:$BA$1248,29,0)</f>
        <v>#N/A</v>
      </c>
      <c r="CG58" s="7" t="e">
        <f>VLOOKUP(C58,[3]listaBolsa!$D$2:$BA$1248,36,0)</f>
        <v>#N/A</v>
      </c>
      <c r="CH58" s="7" t="e">
        <f>VLOOKUP(C58,[3]listaBolsa!$D$2:$BA$1248,40,0)</f>
        <v>#N/A</v>
      </c>
      <c r="CI58" s="7" t="e">
        <f>VLOOKUP(C58,[3]listaBolsa!$D$2:$BA$1248,48,0)</f>
        <v>#N/A</v>
      </c>
      <c r="CJ58" s="7" t="e">
        <f t="shared" si="6"/>
        <v>#N/A</v>
      </c>
      <c r="CK58" s="7" t="e">
        <f t="shared" si="6"/>
        <v>#N/A</v>
      </c>
      <c r="CL58" s="7" t="e">
        <f t="shared" si="7"/>
        <v>#N/A</v>
      </c>
      <c r="CM58" s="7" t="e">
        <f t="shared" si="7"/>
        <v>#N/A</v>
      </c>
      <c r="CN58" s="7" t="e">
        <f t="shared" si="8"/>
        <v>#N/A</v>
      </c>
      <c r="CO58" s="7" t="e">
        <f t="shared" si="8"/>
        <v>#N/A</v>
      </c>
      <c r="CP58" s="7" t="e">
        <f t="shared" si="9"/>
        <v>#N/A</v>
      </c>
      <c r="CQ58" s="7" t="e">
        <f t="shared" si="9"/>
        <v>#N/A</v>
      </c>
      <c r="CR58" s="7" t="e">
        <f t="shared" si="5"/>
        <v>#N/A</v>
      </c>
    </row>
    <row r="59" spans="1:96" s="7" customFormat="1" ht="117">
      <c r="A59" s="75">
        <f t="shared" si="0"/>
        <v>51</v>
      </c>
      <c r="B59" s="304" t="s">
        <v>1491</v>
      </c>
      <c r="C59" s="305" t="s">
        <v>2140</v>
      </c>
      <c r="D59" s="306" t="s">
        <v>2141</v>
      </c>
      <c r="E59" s="307" t="s">
        <v>185</v>
      </c>
      <c r="F59" s="308">
        <v>1</v>
      </c>
      <c r="G59" s="309" t="s">
        <v>186</v>
      </c>
      <c r="H59" s="310" t="s">
        <v>1666</v>
      </c>
      <c r="I59" s="311" t="s">
        <v>2142</v>
      </c>
      <c r="J59" s="311" t="s">
        <v>256</v>
      </c>
      <c r="K59" s="311" t="s">
        <v>2143</v>
      </c>
      <c r="L59" s="311" t="s">
        <v>2144</v>
      </c>
      <c r="M59" s="311" t="s">
        <v>2143</v>
      </c>
      <c r="N59" s="312" t="s">
        <v>1670</v>
      </c>
      <c r="O59" s="312" t="s">
        <v>2031</v>
      </c>
      <c r="P59" s="312" t="s">
        <v>256</v>
      </c>
      <c r="Q59" s="312" t="s">
        <v>2031</v>
      </c>
      <c r="R59" s="312" t="s">
        <v>2032</v>
      </c>
      <c r="S59" s="312" t="s">
        <v>2033</v>
      </c>
      <c r="T59" s="313" t="s">
        <v>1674</v>
      </c>
      <c r="U59" s="313" t="s">
        <v>1704</v>
      </c>
      <c r="V59" s="313" t="s">
        <v>256</v>
      </c>
      <c r="W59" s="313" t="s">
        <v>1704</v>
      </c>
      <c r="X59" s="313" t="s">
        <v>1705</v>
      </c>
      <c r="Y59" s="313" t="s">
        <v>1706</v>
      </c>
      <c r="Z59" s="246">
        <v>16833.333333333332</v>
      </c>
      <c r="AA59" s="246">
        <v>16833.333333333332</v>
      </c>
      <c r="AB59" s="247">
        <v>1607.2751268321592</v>
      </c>
      <c r="AC59" s="248">
        <v>9.5481690702900551E-2</v>
      </c>
      <c r="AD59" s="314"/>
      <c r="AF59" s="7" t="e">
        <f>IF(C59="","",VLOOKUP(C59,[3]listaBolsa!$D$2:$BB$276,51,0))</f>
        <v>#N/A</v>
      </c>
      <c r="BG59" s="7">
        <v>51</v>
      </c>
      <c r="CA59" s="7" t="e">
        <f>VLOOKUP(C59,[3]listaBolsa!$D$2:$BA$1248,1,0)</f>
        <v>#N/A</v>
      </c>
      <c r="CB59" s="7" t="e">
        <f>VLOOKUP(C59,[3]listaBolsa!$D$2:$BA$1248,2,0)</f>
        <v>#N/A</v>
      </c>
      <c r="CC59" s="7" t="e">
        <f>VLOOKUP(C59,[3]listaBolsa!$D$2:$BA$1248,10,0)</f>
        <v>#N/A</v>
      </c>
      <c r="CD59" s="7" t="e">
        <f>VLOOKUP(C59,[3]listaBolsa!$D$2:$BA$1248,14,0)</f>
        <v>#N/A</v>
      </c>
      <c r="CE59" s="7" t="e">
        <f>VLOOKUP(C59,[3]listaBolsa!$D$2:$BA$1248,23,0)</f>
        <v>#N/A</v>
      </c>
      <c r="CF59" s="7" t="e">
        <f>VLOOKUP(C59,[3]listaBolsa!$D$2:$BA$1248,29,0)</f>
        <v>#N/A</v>
      </c>
      <c r="CG59" s="7" t="e">
        <f>VLOOKUP(C59,[3]listaBolsa!$D$2:$BA$1248,36,0)</f>
        <v>#N/A</v>
      </c>
      <c r="CH59" s="7" t="e">
        <f>VLOOKUP(C59,[3]listaBolsa!$D$2:$BA$1248,40,0)</f>
        <v>#N/A</v>
      </c>
      <c r="CI59" s="7" t="e">
        <f>VLOOKUP(C59,[3]listaBolsa!$D$2:$BA$1248,48,0)</f>
        <v>#N/A</v>
      </c>
      <c r="CJ59" s="7" t="e">
        <f t="shared" si="6"/>
        <v>#N/A</v>
      </c>
      <c r="CK59" s="7" t="e">
        <f t="shared" si="6"/>
        <v>#N/A</v>
      </c>
      <c r="CL59" s="7" t="e">
        <f t="shared" si="7"/>
        <v>#N/A</v>
      </c>
      <c r="CM59" s="7" t="e">
        <f t="shared" si="7"/>
        <v>#N/A</v>
      </c>
      <c r="CN59" s="7" t="e">
        <f t="shared" si="8"/>
        <v>#N/A</v>
      </c>
      <c r="CO59" s="7" t="e">
        <f t="shared" si="8"/>
        <v>#N/A</v>
      </c>
      <c r="CP59" s="7" t="e">
        <f t="shared" si="9"/>
        <v>#N/A</v>
      </c>
      <c r="CQ59" s="7" t="e">
        <f t="shared" si="9"/>
        <v>#N/A</v>
      </c>
      <c r="CR59" s="7" t="e">
        <f t="shared" si="5"/>
        <v>#N/A</v>
      </c>
    </row>
    <row r="60" spans="1:96" s="7" customFormat="1" ht="117">
      <c r="A60" s="75">
        <f t="shared" si="0"/>
        <v>52</v>
      </c>
      <c r="B60" s="296" t="s">
        <v>1491</v>
      </c>
      <c r="C60" s="216" t="s">
        <v>2145</v>
      </c>
      <c r="D60" s="216" t="s">
        <v>2146</v>
      </c>
      <c r="E60" s="296" t="s">
        <v>185</v>
      </c>
      <c r="F60" s="297">
        <v>1</v>
      </c>
      <c r="G60" s="298" t="s">
        <v>186</v>
      </c>
      <c r="H60" s="299" t="s">
        <v>1666</v>
      </c>
      <c r="I60" s="299" t="s">
        <v>2147</v>
      </c>
      <c r="J60" s="299" t="s">
        <v>256</v>
      </c>
      <c r="K60" s="299" t="s">
        <v>2148</v>
      </c>
      <c r="L60" s="299" t="s">
        <v>2149</v>
      </c>
      <c r="M60" s="299" t="s">
        <v>2148</v>
      </c>
      <c r="N60" s="300" t="s">
        <v>1670</v>
      </c>
      <c r="O60" s="300" t="s">
        <v>2150</v>
      </c>
      <c r="P60" s="300" t="s">
        <v>256</v>
      </c>
      <c r="Q60" s="300" t="s">
        <v>2150</v>
      </c>
      <c r="R60" s="300" t="s">
        <v>2151</v>
      </c>
      <c r="S60" s="300" t="s">
        <v>2152</v>
      </c>
      <c r="T60" s="301" t="s">
        <v>1674</v>
      </c>
      <c r="U60" s="301" t="s">
        <v>1985</v>
      </c>
      <c r="V60" s="301" t="s">
        <v>256</v>
      </c>
      <c r="W60" s="301" t="s">
        <v>1985</v>
      </c>
      <c r="X60" s="301" t="s">
        <v>1986</v>
      </c>
      <c r="Y60" s="301" t="s">
        <v>1987</v>
      </c>
      <c r="Z60" s="246">
        <v>10000</v>
      </c>
      <c r="AA60" s="246">
        <v>10000</v>
      </c>
      <c r="AB60" s="247">
        <v>2000</v>
      </c>
      <c r="AC60" s="248">
        <v>0.2</v>
      </c>
      <c r="AD60" s="302"/>
      <c r="AF60" s="7" t="e">
        <f>IF(C60="","",VLOOKUP(C60,[3]listaBolsa!$D$2:$BB$276,51,0))</f>
        <v>#N/A</v>
      </c>
      <c r="BG60" s="7">
        <v>52</v>
      </c>
      <c r="CA60" s="7" t="e">
        <f>VLOOKUP(C60,[3]listaBolsa!$D$2:$BA$1248,1,0)</f>
        <v>#N/A</v>
      </c>
      <c r="CB60" s="7" t="e">
        <f>VLOOKUP(C60,[3]listaBolsa!$D$2:$BA$1248,2,0)</f>
        <v>#N/A</v>
      </c>
      <c r="CC60" s="7" t="e">
        <f>VLOOKUP(C60,[3]listaBolsa!$D$2:$BA$1248,10,0)</f>
        <v>#N/A</v>
      </c>
      <c r="CD60" s="7" t="e">
        <f>VLOOKUP(C60,[3]listaBolsa!$D$2:$BA$1248,14,0)</f>
        <v>#N/A</v>
      </c>
      <c r="CE60" s="7" t="e">
        <f>VLOOKUP(C60,[3]listaBolsa!$D$2:$BA$1248,23,0)</f>
        <v>#N/A</v>
      </c>
      <c r="CF60" s="7" t="e">
        <f>VLOOKUP(C60,[3]listaBolsa!$D$2:$BA$1248,29,0)</f>
        <v>#N/A</v>
      </c>
      <c r="CG60" s="7" t="e">
        <f>VLOOKUP(C60,[3]listaBolsa!$D$2:$BA$1248,36,0)</f>
        <v>#N/A</v>
      </c>
      <c r="CH60" s="7" t="e">
        <f>VLOOKUP(C60,[3]listaBolsa!$D$2:$BA$1248,40,0)</f>
        <v>#N/A</v>
      </c>
      <c r="CI60" s="7" t="e">
        <f>VLOOKUP(C60,[3]listaBolsa!$D$2:$BA$1248,48,0)</f>
        <v>#N/A</v>
      </c>
      <c r="CJ60" s="7" t="e">
        <f t="shared" si="6"/>
        <v>#N/A</v>
      </c>
      <c r="CK60" s="7" t="e">
        <f t="shared" si="6"/>
        <v>#N/A</v>
      </c>
      <c r="CL60" s="7" t="e">
        <f t="shared" si="7"/>
        <v>#N/A</v>
      </c>
      <c r="CM60" s="7" t="e">
        <f t="shared" si="7"/>
        <v>#N/A</v>
      </c>
      <c r="CN60" s="7" t="e">
        <f t="shared" si="8"/>
        <v>#N/A</v>
      </c>
      <c r="CO60" s="7" t="e">
        <f t="shared" si="8"/>
        <v>#N/A</v>
      </c>
      <c r="CP60" s="7" t="e">
        <f t="shared" si="9"/>
        <v>#N/A</v>
      </c>
      <c r="CQ60" s="7" t="e">
        <f t="shared" si="9"/>
        <v>#N/A</v>
      </c>
      <c r="CR60" s="7" t="e">
        <f t="shared" si="5"/>
        <v>#N/A</v>
      </c>
    </row>
    <row r="61" spans="1:96" s="7" customFormat="1" ht="117">
      <c r="A61" s="75">
        <f t="shared" si="0"/>
        <v>53</v>
      </c>
      <c r="B61" s="296" t="s">
        <v>1491</v>
      </c>
      <c r="C61" s="216" t="s">
        <v>2153</v>
      </c>
      <c r="D61" s="216" t="s">
        <v>2154</v>
      </c>
      <c r="E61" s="296" t="s">
        <v>185</v>
      </c>
      <c r="F61" s="297">
        <v>1</v>
      </c>
      <c r="G61" s="298" t="s">
        <v>186</v>
      </c>
      <c r="H61" s="299" t="s">
        <v>1666</v>
      </c>
      <c r="I61" s="299" t="s">
        <v>2155</v>
      </c>
      <c r="J61" s="299" t="s">
        <v>2156</v>
      </c>
      <c r="K61" s="299" t="s">
        <v>2157</v>
      </c>
      <c r="L61" s="299" t="s">
        <v>2158</v>
      </c>
      <c r="M61" s="299" t="s">
        <v>2157</v>
      </c>
      <c r="N61" s="300" t="s">
        <v>1670</v>
      </c>
      <c r="O61" s="300" t="s">
        <v>2159</v>
      </c>
      <c r="P61" s="300" t="s">
        <v>2160</v>
      </c>
      <c r="Q61" s="300" t="s">
        <v>2161</v>
      </c>
      <c r="R61" s="300" t="s">
        <v>2162</v>
      </c>
      <c r="S61" s="300" t="s">
        <v>2163</v>
      </c>
      <c r="T61" s="301" t="s">
        <v>1674</v>
      </c>
      <c r="U61" s="301" t="s">
        <v>2164</v>
      </c>
      <c r="V61" s="301" t="s">
        <v>2165</v>
      </c>
      <c r="W61" s="301" t="s">
        <v>2166</v>
      </c>
      <c r="X61" s="301" t="s">
        <v>2167</v>
      </c>
      <c r="Y61" s="301" t="s">
        <v>2168</v>
      </c>
      <c r="Z61" s="246">
        <v>37266.666733333332</v>
      </c>
      <c r="AA61" s="246">
        <v>37266.666733333332</v>
      </c>
      <c r="AB61" s="247">
        <v>2569.6989921047116</v>
      </c>
      <c r="AC61" s="248">
        <v>6.8954355657632055E-2</v>
      </c>
      <c r="AD61" s="302"/>
      <c r="AF61" s="7" t="e">
        <f>IF(C61="","",VLOOKUP(C61,[3]listaBolsa!$D$2:$BB$276,51,0))</f>
        <v>#N/A</v>
      </c>
      <c r="BG61" s="7">
        <v>53</v>
      </c>
      <c r="CA61" s="7" t="e">
        <f>VLOOKUP(C61,[3]listaBolsa!$D$2:$BA$1248,1,0)</f>
        <v>#N/A</v>
      </c>
      <c r="CB61" s="7" t="e">
        <f>VLOOKUP(C61,[3]listaBolsa!$D$2:$BA$1248,2,0)</f>
        <v>#N/A</v>
      </c>
      <c r="CC61" s="7" t="e">
        <f>VLOOKUP(C61,[3]listaBolsa!$D$2:$BA$1248,10,0)</f>
        <v>#N/A</v>
      </c>
      <c r="CD61" s="7" t="e">
        <f>VLOOKUP(C61,[3]listaBolsa!$D$2:$BA$1248,14,0)</f>
        <v>#N/A</v>
      </c>
      <c r="CE61" s="7" t="e">
        <f>VLOOKUP(C61,[3]listaBolsa!$D$2:$BA$1248,23,0)</f>
        <v>#N/A</v>
      </c>
      <c r="CF61" s="7" t="e">
        <f>VLOOKUP(C61,[3]listaBolsa!$D$2:$BA$1248,29,0)</f>
        <v>#N/A</v>
      </c>
      <c r="CG61" s="7" t="e">
        <f>VLOOKUP(C61,[3]listaBolsa!$D$2:$BA$1248,36,0)</f>
        <v>#N/A</v>
      </c>
      <c r="CH61" s="7" t="e">
        <f>VLOOKUP(C61,[3]listaBolsa!$D$2:$BA$1248,40,0)</f>
        <v>#N/A</v>
      </c>
      <c r="CI61" s="7" t="e">
        <f>VLOOKUP(C61,[3]listaBolsa!$D$2:$BA$1248,48,0)</f>
        <v>#N/A</v>
      </c>
      <c r="CJ61" s="7" t="e">
        <f t="shared" si="6"/>
        <v>#N/A</v>
      </c>
      <c r="CK61" s="7" t="e">
        <f t="shared" si="6"/>
        <v>#N/A</v>
      </c>
      <c r="CL61" s="7" t="e">
        <f t="shared" si="7"/>
        <v>#N/A</v>
      </c>
      <c r="CM61" s="7" t="e">
        <f t="shared" si="7"/>
        <v>#N/A</v>
      </c>
      <c r="CN61" s="7" t="e">
        <f t="shared" si="8"/>
        <v>#N/A</v>
      </c>
      <c r="CO61" s="7" t="e">
        <f t="shared" si="8"/>
        <v>#N/A</v>
      </c>
      <c r="CP61" s="7" t="e">
        <f t="shared" si="9"/>
        <v>#N/A</v>
      </c>
      <c r="CQ61" s="7" t="e">
        <f t="shared" si="9"/>
        <v>#N/A</v>
      </c>
      <c r="CR61" s="7" t="e">
        <f t="shared" si="5"/>
        <v>#N/A</v>
      </c>
    </row>
    <row r="62" spans="1:96" s="7" customFormat="1" ht="117">
      <c r="A62" s="75">
        <f t="shared" si="0"/>
        <v>54</v>
      </c>
      <c r="B62" s="296" t="s">
        <v>1491</v>
      </c>
      <c r="C62" s="216" t="s">
        <v>2169</v>
      </c>
      <c r="D62" s="216" t="s">
        <v>2170</v>
      </c>
      <c r="E62" s="296" t="s">
        <v>185</v>
      </c>
      <c r="F62" s="297">
        <v>1</v>
      </c>
      <c r="G62" s="298" t="s">
        <v>186</v>
      </c>
      <c r="H62" s="299" t="s">
        <v>1666</v>
      </c>
      <c r="I62" s="299" t="s">
        <v>2171</v>
      </c>
      <c r="J62" s="299" t="s">
        <v>2172</v>
      </c>
      <c r="K62" s="299" t="s">
        <v>2173</v>
      </c>
      <c r="L62" s="299" t="s">
        <v>2174</v>
      </c>
      <c r="M62" s="299" t="s">
        <v>2173</v>
      </c>
      <c r="N62" s="300" t="s">
        <v>1674</v>
      </c>
      <c r="O62" s="300" t="s">
        <v>2126</v>
      </c>
      <c r="P62" s="300" t="s">
        <v>2175</v>
      </c>
      <c r="Q62" s="300" t="s">
        <v>2128</v>
      </c>
      <c r="R62" s="300" t="s">
        <v>2129</v>
      </c>
      <c r="S62" s="300" t="s">
        <v>2130</v>
      </c>
      <c r="T62" s="301" t="s">
        <v>1670</v>
      </c>
      <c r="U62" s="301" t="s">
        <v>2176</v>
      </c>
      <c r="V62" s="301" t="s">
        <v>2177</v>
      </c>
      <c r="W62" s="301" t="s">
        <v>2178</v>
      </c>
      <c r="X62" s="301" t="s">
        <v>2179</v>
      </c>
      <c r="Y62" s="301" t="s">
        <v>2180</v>
      </c>
      <c r="Z62" s="246">
        <v>15433.332133333332</v>
      </c>
      <c r="AA62" s="246">
        <v>15433.332133333332</v>
      </c>
      <c r="AB62" s="247">
        <v>2983.8481652627465</v>
      </c>
      <c r="AC62" s="248">
        <v>0.193337909110253</v>
      </c>
      <c r="AD62" s="302"/>
      <c r="AF62" s="7" t="e">
        <f>IF(C62="","",VLOOKUP(C62,[3]listaBolsa!$D$2:$BB$276,51,0))</f>
        <v>#N/A</v>
      </c>
      <c r="BG62" s="7">
        <v>54</v>
      </c>
      <c r="CA62" s="7" t="e">
        <f>VLOOKUP(C62,[3]listaBolsa!$D$2:$BA$1248,1,0)</f>
        <v>#N/A</v>
      </c>
      <c r="CB62" s="7" t="e">
        <f>VLOOKUP(C62,[3]listaBolsa!$D$2:$BA$1248,2,0)</f>
        <v>#N/A</v>
      </c>
      <c r="CC62" s="7" t="e">
        <f>VLOOKUP(C62,[3]listaBolsa!$D$2:$BA$1248,10,0)</f>
        <v>#N/A</v>
      </c>
      <c r="CD62" s="7" t="e">
        <f>VLOOKUP(C62,[3]listaBolsa!$D$2:$BA$1248,14,0)</f>
        <v>#N/A</v>
      </c>
      <c r="CE62" s="7" t="e">
        <f>VLOOKUP(C62,[3]listaBolsa!$D$2:$BA$1248,23,0)</f>
        <v>#N/A</v>
      </c>
      <c r="CF62" s="7" t="e">
        <f>VLOOKUP(C62,[3]listaBolsa!$D$2:$BA$1248,29,0)</f>
        <v>#N/A</v>
      </c>
      <c r="CG62" s="7" t="e">
        <f>VLOOKUP(C62,[3]listaBolsa!$D$2:$BA$1248,36,0)</f>
        <v>#N/A</v>
      </c>
      <c r="CH62" s="7" t="e">
        <f>VLOOKUP(C62,[3]listaBolsa!$D$2:$BA$1248,40,0)</f>
        <v>#N/A</v>
      </c>
      <c r="CI62" s="7" t="e">
        <f>VLOOKUP(C62,[3]listaBolsa!$D$2:$BA$1248,48,0)</f>
        <v>#N/A</v>
      </c>
      <c r="CJ62" s="7" t="e">
        <f t="shared" si="6"/>
        <v>#N/A</v>
      </c>
      <c r="CK62" s="7" t="e">
        <f t="shared" si="6"/>
        <v>#N/A</v>
      </c>
      <c r="CL62" s="7" t="e">
        <f t="shared" si="7"/>
        <v>#N/A</v>
      </c>
      <c r="CM62" s="7" t="e">
        <f t="shared" si="7"/>
        <v>#N/A</v>
      </c>
      <c r="CN62" s="7" t="e">
        <f t="shared" si="8"/>
        <v>#N/A</v>
      </c>
      <c r="CO62" s="7" t="e">
        <f t="shared" si="8"/>
        <v>#N/A</v>
      </c>
      <c r="CP62" s="7" t="e">
        <f t="shared" si="9"/>
        <v>#N/A</v>
      </c>
      <c r="CQ62" s="7" t="e">
        <f t="shared" si="9"/>
        <v>#N/A</v>
      </c>
      <c r="CR62" s="7" t="e">
        <f t="shared" si="5"/>
        <v>#N/A</v>
      </c>
    </row>
    <row r="63" spans="1:96" s="7" customFormat="1" ht="117">
      <c r="A63" s="75">
        <f t="shared" si="0"/>
        <v>55</v>
      </c>
      <c r="B63" s="296" t="s">
        <v>1491</v>
      </c>
      <c r="C63" s="216" t="s">
        <v>2181</v>
      </c>
      <c r="D63" s="216" t="s">
        <v>2182</v>
      </c>
      <c r="E63" s="296" t="s">
        <v>185</v>
      </c>
      <c r="F63" s="297">
        <v>1</v>
      </c>
      <c r="G63" s="298" t="s">
        <v>186</v>
      </c>
      <c r="H63" s="299" t="s">
        <v>1666</v>
      </c>
      <c r="I63" s="299" t="s">
        <v>2183</v>
      </c>
      <c r="J63" s="299" t="s">
        <v>2184</v>
      </c>
      <c r="K63" s="299" t="s">
        <v>2185</v>
      </c>
      <c r="L63" s="299" t="s">
        <v>2186</v>
      </c>
      <c r="M63" s="299" t="s">
        <v>2185</v>
      </c>
      <c r="N63" s="300" t="s">
        <v>1670</v>
      </c>
      <c r="O63" s="300" t="s">
        <v>2187</v>
      </c>
      <c r="P63" s="300" t="s">
        <v>2188</v>
      </c>
      <c r="Q63" s="300" t="s">
        <v>2189</v>
      </c>
      <c r="R63" s="300" t="s">
        <v>2190</v>
      </c>
      <c r="S63" s="300" t="s">
        <v>2191</v>
      </c>
      <c r="T63" s="301" t="s">
        <v>1674</v>
      </c>
      <c r="U63" s="301" t="s">
        <v>2192</v>
      </c>
      <c r="V63" s="301" t="s">
        <v>2193</v>
      </c>
      <c r="W63" s="301" t="s">
        <v>2194</v>
      </c>
      <c r="X63" s="301" t="s">
        <v>2195</v>
      </c>
      <c r="Y63" s="301" t="s">
        <v>2196</v>
      </c>
      <c r="Z63" s="246">
        <v>43322.299066666666</v>
      </c>
      <c r="AA63" s="246">
        <v>43322.299066666666</v>
      </c>
      <c r="AB63" s="247">
        <v>10271.363469980146</v>
      </c>
      <c r="AC63" s="248">
        <v>0.23709183702771691</v>
      </c>
      <c r="AD63" s="302"/>
      <c r="AF63" s="7" t="e">
        <f>IF(C63="","",VLOOKUP(C63,[3]listaBolsa!$D$2:$BB$276,51,0))</f>
        <v>#N/A</v>
      </c>
      <c r="BG63" s="7">
        <v>55</v>
      </c>
      <c r="CA63" s="7" t="e">
        <f>VLOOKUP(C63,[3]listaBolsa!$D$2:$BA$1248,1,0)</f>
        <v>#N/A</v>
      </c>
      <c r="CB63" s="7" t="e">
        <f>VLOOKUP(C63,[3]listaBolsa!$D$2:$BA$1248,2,0)</f>
        <v>#N/A</v>
      </c>
      <c r="CC63" s="7" t="e">
        <f>VLOOKUP(C63,[3]listaBolsa!$D$2:$BA$1248,10,0)</f>
        <v>#N/A</v>
      </c>
      <c r="CD63" s="7" t="e">
        <f>VLOOKUP(C63,[3]listaBolsa!$D$2:$BA$1248,14,0)</f>
        <v>#N/A</v>
      </c>
      <c r="CE63" s="7" t="e">
        <f>VLOOKUP(C63,[3]listaBolsa!$D$2:$BA$1248,23,0)</f>
        <v>#N/A</v>
      </c>
      <c r="CF63" s="7" t="e">
        <f>VLOOKUP(C63,[3]listaBolsa!$D$2:$BA$1248,29,0)</f>
        <v>#N/A</v>
      </c>
      <c r="CG63" s="7" t="e">
        <f>VLOOKUP(C63,[3]listaBolsa!$D$2:$BA$1248,36,0)</f>
        <v>#N/A</v>
      </c>
      <c r="CH63" s="7" t="e">
        <f>VLOOKUP(C63,[3]listaBolsa!$D$2:$BA$1248,40,0)</f>
        <v>#N/A</v>
      </c>
      <c r="CI63" s="7" t="e">
        <f>VLOOKUP(C63,[3]listaBolsa!$D$2:$BA$1248,48,0)</f>
        <v>#N/A</v>
      </c>
      <c r="CJ63" s="7" t="e">
        <f t="shared" si="6"/>
        <v>#N/A</v>
      </c>
      <c r="CK63" s="7" t="e">
        <f t="shared" si="6"/>
        <v>#N/A</v>
      </c>
      <c r="CL63" s="7" t="e">
        <f t="shared" si="7"/>
        <v>#N/A</v>
      </c>
      <c r="CM63" s="7" t="e">
        <f t="shared" si="7"/>
        <v>#N/A</v>
      </c>
      <c r="CN63" s="7" t="e">
        <f t="shared" si="8"/>
        <v>#N/A</v>
      </c>
      <c r="CO63" s="7" t="e">
        <f t="shared" si="8"/>
        <v>#N/A</v>
      </c>
      <c r="CP63" s="7" t="e">
        <f t="shared" si="9"/>
        <v>#N/A</v>
      </c>
      <c r="CQ63" s="7" t="e">
        <f t="shared" si="9"/>
        <v>#N/A</v>
      </c>
      <c r="CR63" s="7" t="e">
        <f t="shared" si="5"/>
        <v>#N/A</v>
      </c>
    </row>
    <row r="64" spans="1:96" s="7" customFormat="1" ht="117">
      <c r="A64" s="75">
        <f t="shared" si="0"/>
        <v>56</v>
      </c>
      <c r="B64" s="296" t="s">
        <v>1491</v>
      </c>
      <c r="C64" s="216" t="s">
        <v>2197</v>
      </c>
      <c r="D64" s="216" t="s">
        <v>2198</v>
      </c>
      <c r="E64" s="296" t="s">
        <v>185</v>
      </c>
      <c r="F64" s="297">
        <v>1</v>
      </c>
      <c r="G64" s="298" t="s">
        <v>186</v>
      </c>
      <c r="H64" s="299" t="s">
        <v>1666</v>
      </c>
      <c r="I64" s="299" t="s">
        <v>2199</v>
      </c>
      <c r="J64" s="299" t="s">
        <v>2200</v>
      </c>
      <c r="K64" s="299" t="s">
        <v>2201</v>
      </c>
      <c r="L64" s="299" t="s">
        <v>2202</v>
      </c>
      <c r="M64" s="299" t="s">
        <v>2201</v>
      </c>
      <c r="N64" s="300" t="s">
        <v>1670</v>
      </c>
      <c r="O64" s="300" t="s">
        <v>2203</v>
      </c>
      <c r="P64" s="300" t="s">
        <v>2204</v>
      </c>
      <c r="Q64" s="300" t="s">
        <v>2205</v>
      </c>
      <c r="R64" s="300" t="s">
        <v>2206</v>
      </c>
      <c r="S64" s="300" t="s">
        <v>2207</v>
      </c>
      <c r="T64" s="301" t="s">
        <v>1674</v>
      </c>
      <c r="U64" s="301" t="s">
        <v>2208</v>
      </c>
      <c r="V64" s="301" t="s">
        <v>2209</v>
      </c>
      <c r="W64" s="301" t="s">
        <v>2210</v>
      </c>
      <c r="X64" s="301" t="s">
        <v>2211</v>
      </c>
      <c r="Y64" s="301" t="s">
        <v>2212</v>
      </c>
      <c r="Z64" s="246">
        <v>149900.00409999999</v>
      </c>
      <c r="AA64" s="246">
        <v>149900.00409999999</v>
      </c>
      <c r="AB64" s="247">
        <v>0</v>
      </c>
      <c r="AC64" s="248">
        <v>0</v>
      </c>
      <c r="AD64" s="302"/>
      <c r="AF64" s="7" t="e">
        <f>IF(C64="","",VLOOKUP(C64,[3]listaBolsa!$D$2:$BB$276,51,0))</f>
        <v>#N/A</v>
      </c>
      <c r="BG64" s="7">
        <v>56</v>
      </c>
      <c r="CA64" s="7" t="e">
        <f>VLOOKUP(C64,[3]listaBolsa!$D$2:$BA$1248,1,0)</f>
        <v>#N/A</v>
      </c>
      <c r="CB64" s="7" t="e">
        <f>VLOOKUP(C64,[3]listaBolsa!$D$2:$BA$1248,2,0)</f>
        <v>#N/A</v>
      </c>
      <c r="CC64" s="7" t="e">
        <f>VLOOKUP(C64,[3]listaBolsa!$D$2:$BA$1248,10,0)</f>
        <v>#N/A</v>
      </c>
      <c r="CD64" s="7" t="e">
        <f>VLOOKUP(C64,[3]listaBolsa!$D$2:$BA$1248,14,0)</f>
        <v>#N/A</v>
      </c>
      <c r="CE64" s="7" t="e">
        <f>VLOOKUP(C64,[3]listaBolsa!$D$2:$BA$1248,23,0)</f>
        <v>#N/A</v>
      </c>
      <c r="CF64" s="7" t="e">
        <f>VLOOKUP(C64,[3]listaBolsa!$D$2:$BA$1248,29,0)</f>
        <v>#N/A</v>
      </c>
      <c r="CG64" s="7" t="e">
        <f>VLOOKUP(C64,[3]listaBolsa!$D$2:$BA$1248,36,0)</f>
        <v>#N/A</v>
      </c>
      <c r="CH64" s="7" t="e">
        <f>VLOOKUP(C64,[3]listaBolsa!$D$2:$BA$1248,40,0)</f>
        <v>#N/A</v>
      </c>
      <c r="CI64" s="7" t="e">
        <f>VLOOKUP(C64,[3]listaBolsa!$D$2:$BA$1248,48,0)</f>
        <v>#N/A</v>
      </c>
      <c r="CJ64" s="7" t="e">
        <f t="shared" si="6"/>
        <v>#N/A</v>
      </c>
      <c r="CK64" s="7" t="e">
        <f t="shared" si="6"/>
        <v>#N/A</v>
      </c>
      <c r="CL64" s="7" t="e">
        <f t="shared" si="7"/>
        <v>#N/A</v>
      </c>
      <c r="CM64" s="7" t="e">
        <f t="shared" si="7"/>
        <v>#N/A</v>
      </c>
      <c r="CN64" s="7" t="e">
        <f t="shared" si="8"/>
        <v>#N/A</v>
      </c>
      <c r="CO64" s="7" t="e">
        <f t="shared" si="8"/>
        <v>#N/A</v>
      </c>
      <c r="CP64" s="7" t="e">
        <f t="shared" si="9"/>
        <v>#N/A</v>
      </c>
      <c r="CQ64" s="7" t="e">
        <f t="shared" si="9"/>
        <v>#N/A</v>
      </c>
      <c r="CR64" s="7" t="e">
        <f t="shared" si="5"/>
        <v>#N/A</v>
      </c>
    </row>
    <row r="65" spans="1:96" s="7" customFormat="1" ht="117">
      <c r="A65" s="75">
        <f t="shared" si="0"/>
        <v>57</v>
      </c>
      <c r="B65" s="296" t="s">
        <v>1491</v>
      </c>
      <c r="C65" s="216" t="s">
        <v>2213</v>
      </c>
      <c r="D65" s="216" t="s">
        <v>2214</v>
      </c>
      <c r="E65" s="296" t="s">
        <v>185</v>
      </c>
      <c r="F65" s="297">
        <v>1</v>
      </c>
      <c r="G65" s="298" t="s">
        <v>186</v>
      </c>
      <c r="H65" s="299" t="s">
        <v>1666</v>
      </c>
      <c r="I65" s="299" t="s">
        <v>2215</v>
      </c>
      <c r="J65" s="299" t="s">
        <v>2216</v>
      </c>
      <c r="K65" s="299" t="s">
        <v>2217</v>
      </c>
      <c r="L65" s="299" t="s">
        <v>2218</v>
      </c>
      <c r="M65" s="299" t="s">
        <v>2217</v>
      </c>
      <c r="N65" s="300" t="s">
        <v>1670</v>
      </c>
      <c r="O65" s="300" t="s">
        <v>2219</v>
      </c>
      <c r="P65" s="300" t="s">
        <v>2220</v>
      </c>
      <c r="Q65" s="300" t="s">
        <v>2221</v>
      </c>
      <c r="R65" s="300" t="s">
        <v>2222</v>
      </c>
      <c r="S65" s="300" t="s">
        <v>2223</v>
      </c>
      <c r="T65" s="301" t="s">
        <v>1674</v>
      </c>
      <c r="U65" s="301" t="s">
        <v>2224</v>
      </c>
      <c r="V65" s="301" t="s">
        <v>2225</v>
      </c>
      <c r="W65" s="301" t="s">
        <v>2226</v>
      </c>
      <c r="X65" s="301" t="s">
        <v>2227</v>
      </c>
      <c r="Y65" s="301" t="s">
        <v>2228</v>
      </c>
      <c r="Z65" s="246">
        <v>188813.33333333334</v>
      </c>
      <c r="AA65" s="246">
        <v>188813.33333333334</v>
      </c>
      <c r="AB65" s="247">
        <v>4954.3650787293964</v>
      </c>
      <c r="AC65" s="248">
        <v>2.6239487388228566E-2</v>
      </c>
      <c r="AD65" s="302"/>
      <c r="AF65" s="7" t="e">
        <f>IF(C65="","",VLOOKUP(C65,[3]listaBolsa!$D$2:$BB$276,51,0))</f>
        <v>#N/A</v>
      </c>
      <c r="BG65" s="7">
        <v>57</v>
      </c>
      <c r="CA65" s="7" t="e">
        <f>VLOOKUP(C65,[3]listaBolsa!$D$2:$BA$1248,1,0)</f>
        <v>#N/A</v>
      </c>
      <c r="CB65" s="7" t="e">
        <f>VLOOKUP(C65,[3]listaBolsa!$D$2:$BA$1248,2,0)</f>
        <v>#N/A</v>
      </c>
      <c r="CC65" s="7" t="e">
        <f>VLOOKUP(C65,[3]listaBolsa!$D$2:$BA$1248,10,0)</f>
        <v>#N/A</v>
      </c>
      <c r="CD65" s="7" t="e">
        <f>VLOOKUP(C65,[3]listaBolsa!$D$2:$BA$1248,14,0)</f>
        <v>#N/A</v>
      </c>
      <c r="CE65" s="7" t="e">
        <f>VLOOKUP(C65,[3]listaBolsa!$D$2:$BA$1248,23,0)</f>
        <v>#N/A</v>
      </c>
      <c r="CF65" s="7" t="e">
        <f>VLOOKUP(C65,[3]listaBolsa!$D$2:$BA$1248,29,0)</f>
        <v>#N/A</v>
      </c>
      <c r="CG65" s="7" t="e">
        <f>VLOOKUP(C65,[3]listaBolsa!$D$2:$BA$1248,36,0)</f>
        <v>#N/A</v>
      </c>
      <c r="CH65" s="7" t="e">
        <f>VLOOKUP(C65,[3]listaBolsa!$D$2:$BA$1248,40,0)</f>
        <v>#N/A</v>
      </c>
      <c r="CI65" s="7" t="e">
        <f>VLOOKUP(C65,[3]listaBolsa!$D$2:$BA$1248,48,0)</f>
        <v>#N/A</v>
      </c>
      <c r="CJ65" s="7" t="e">
        <f t="shared" si="6"/>
        <v>#N/A</v>
      </c>
      <c r="CK65" s="7" t="e">
        <f t="shared" si="6"/>
        <v>#N/A</v>
      </c>
      <c r="CL65" s="7" t="e">
        <f t="shared" si="7"/>
        <v>#N/A</v>
      </c>
      <c r="CM65" s="7" t="e">
        <f t="shared" si="7"/>
        <v>#N/A</v>
      </c>
      <c r="CN65" s="7" t="e">
        <f t="shared" si="8"/>
        <v>#N/A</v>
      </c>
      <c r="CO65" s="7" t="e">
        <f t="shared" si="8"/>
        <v>#N/A</v>
      </c>
      <c r="CP65" s="7" t="e">
        <f t="shared" si="9"/>
        <v>#N/A</v>
      </c>
      <c r="CQ65" s="7" t="e">
        <f t="shared" si="9"/>
        <v>#N/A</v>
      </c>
      <c r="CR65" s="7" t="e">
        <f t="shared" si="5"/>
        <v>#N/A</v>
      </c>
    </row>
    <row r="66" spans="1:96" s="7" customFormat="1" ht="117">
      <c r="A66" s="75">
        <f t="shared" si="0"/>
        <v>58</v>
      </c>
      <c r="B66" s="296" t="s">
        <v>1491</v>
      </c>
      <c r="C66" s="216" t="s">
        <v>2229</v>
      </c>
      <c r="D66" s="216" t="s">
        <v>2230</v>
      </c>
      <c r="E66" s="296" t="s">
        <v>185</v>
      </c>
      <c r="F66" s="297">
        <v>1</v>
      </c>
      <c r="G66" s="298" t="s">
        <v>186</v>
      </c>
      <c r="H66" s="299" t="s">
        <v>1050</v>
      </c>
      <c r="I66" s="299" t="s">
        <v>2231</v>
      </c>
      <c r="J66" s="299" t="s">
        <v>2232</v>
      </c>
      <c r="K66" s="299" t="s">
        <v>2233</v>
      </c>
      <c r="L66" s="299" t="s">
        <v>2234</v>
      </c>
      <c r="M66" s="299" t="s">
        <v>2233</v>
      </c>
      <c r="N66" s="300" t="s">
        <v>2235</v>
      </c>
      <c r="O66" s="300" t="s">
        <v>2236</v>
      </c>
      <c r="P66" s="300" t="s">
        <v>2237</v>
      </c>
      <c r="Q66" s="300" t="s">
        <v>2147</v>
      </c>
      <c r="R66" s="300" t="s">
        <v>2238</v>
      </c>
      <c r="S66" s="300" t="s">
        <v>2239</v>
      </c>
      <c r="T66" s="301" t="s">
        <v>2240</v>
      </c>
      <c r="U66" s="301" t="s">
        <v>2150</v>
      </c>
      <c r="V66" s="301" t="s">
        <v>2241</v>
      </c>
      <c r="W66" s="301" t="s">
        <v>2242</v>
      </c>
      <c r="X66" s="301" t="s">
        <v>2151</v>
      </c>
      <c r="Y66" s="301" t="s">
        <v>2243</v>
      </c>
      <c r="Z66" s="246">
        <v>12266.666666666666</v>
      </c>
      <c r="AA66" s="246">
        <v>12266.666666666666</v>
      </c>
      <c r="AB66" s="247">
        <v>550.75705472860977</v>
      </c>
      <c r="AC66" s="248">
        <v>4.4898672939832324E-2</v>
      </c>
      <c r="AD66" s="302"/>
      <c r="AF66" s="7" t="e">
        <f>IF(C66="","",VLOOKUP(C66,[3]listaBolsa!$D$2:$BB$276,51,0))</f>
        <v>#N/A</v>
      </c>
      <c r="BG66" s="7">
        <v>58</v>
      </c>
      <c r="CA66" s="7" t="e">
        <f>VLOOKUP(C66,[3]listaBolsa!$D$2:$BA$1248,1,0)</f>
        <v>#N/A</v>
      </c>
      <c r="CB66" s="7" t="e">
        <f>VLOOKUP(C66,[3]listaBolsa!$D$2:$BA$1248,2,0)</f>
        <v>#N/A</v>
      </c>
      <c r="CC66" s="7" t="e">
        <f>VLOOKUP(C66,[3]listaBolsa!$D$2:$BA$1248,10,0)</f>
        <v>#N/A</v>
      </c>
      <c r="CD66" s="7" t="e">
        <f>VLOOKUP(C66,[3]listaBolsa!$D$2:$BA$1248,14,0)</f>
        <v>#N/A</v>
      </c>
      <c r="CE66" s="7" t="e">
        <f>VLOOKUP(C66,[3]listaBolsa!$D$2:$BA$1248,23,0)</f>
        <v>#N/A</v>
      </c>
      <c r="CF66" s="7" t="e">
        <f>VLOOKUP(C66,[3]listaBolsa!$D$2:$BA$1248,29,0)</f>
        <v>#N/A</v>
      </c>
      <c r="CG66" s="7" t="e">
        <f>VLOOKUP(C66,[3]listaBolsa!$D$2:$BA$1248,36,0)</f>
        <v>#N/A</v>
      </c>
      <c r="CH66" s="7" t="e">
        <f>VLOOKUP(C66,[3]listaBolsa!$D$2:$BA$1248,40,0)</f>
        <v>#N/A</v>
      </c>
      <c r="CI66" s="7" t="e">
        <f>VLOOKUP(C66,[3]listaBolsa!$D$2:$BA$1248,48,0)</f>
        <v>#N/A</v>
      </c>
      <c r="CJ66" s="7" t="e">
        <f t="shared" si="6"/>
        <v>#N/A</v>
      </c>
      <c r="CK66" s="7" t="e">
        <f t="shared" si="6"/>
        <v>#N/A</v>
      </c>
      <c r="CL66" s="7" t="e">
        <f t="shared" si="7"/>
        <v>#N/A</v>
      </c>
      <c r="CM66" s="7" t="e">
        <f t="shared" si="7"/>
        <v>#N/A</v>
      </c>
      <c r="CN66" s="7" t="e">
        <f t="shared" si="8"/>
        <v>#N/A</v>
      </c>
      <c r="CO66" s="7" t="e">
        <f t="shared" si="8"/>
        <v>#N/A</v>
      </c>
      <c r="CP66" s="7" t="e">
        <f t="shared" si="9"/>
        <v>#N/A</v>
      </c>
      <c r="CQ66" s="7" t="e">
        <f t="shared" si="9"/>
        <v>#N/A</v>
      </c>
      <c r="CR66" s="7" t="e">
        <f t="shared" si="5"/>
        <v>#N/A</v>
      </c>
    </row>
    <row r="67" spans="1:96" s="7" customFormat="1" ht="117">
      <c r="A67" s="75">
        <f t="shared" si="0"/>
        <v>59</v>
      </c>
      <c r="B67" s="296" t="s">
        <v>1491</v>
      </c>
      <c r="C67" s="216" t="s">
        <v>2244</v>
      </c>
      <c r="D67" s="216" t="s">
        <v>2245</v>
      </c>
      <c r="E67" s="296" t="s">
        <v>185</v>
      </c>
      <c r="F67" s="297">
        <v>1</v>
      </c>
      <c r="G67" s="298" t="s">
        <v>186</v>
      </c>
      <c r="H67" s="299" t="s">
        <v>2069</v>
      </c>
      <c r="I67" s="299" t="s">
        <v>2246</v>
      </c>
      <c r="J67" s="299" t="s">
        <v>2247</v>
      </c>
      <c r="K67" s="299" t="s">
        <v>2248</v>
      </c>
      <c r="L67" s="299" t="s">
        <v>2249</v>
      </c>
      <c r="M67" s="299" t="s">
        <v>2248</v>
      </c>
      <c r="N67" s="300" t="s">
        <v>2250</v>
      </c>
      <c r="O67" s="300" t="s">
        <v>2251</v>
      </c>
      <c r="P67" s="300" t="s">
        <v>2252</v>
      </c>
      <c r="Q67" s="300" t="s">
        <v>2253</v>
      </c>
      <c r="R67" s="300" t="s">
        <v>2254</v>
      </c>
      <c r="S67" s="300" t="s">
        <v>2255</v>
      </c>
      <c r="T67" s="301" t="s">
        <v>2256</v>
      </c>
      <c r="U67" s="301" t="s">
        <v>2257</v>
      </c>
      <c r="V67" s="301" t="s">
        <v>2258</v>
      </c>
      <c r="W67" s="301" t="s">
        <v>2259</v>
      </c>
      <c r="X67" s="301" t="s">
        <v>2260</v>
      </c>
      <c r="Y67" s="301" t="s">
        <v>2261</v>
      </c>
      <c r="Z67" s="246">
        <v>158166.66666666672</v>
      </c>
      <c r="AA67" s="246">
        <v>158166.66666666672</v>
      </c>
      <c r="AB67" s="247">
        <v>11132.984026456417</v>
      </c>
      <c r="AC67" s="248">
        <v>7.0387675615109044E-2</v>
      </c>
      <c r="AD67" s="302"/>
      <c r="AF67" s="7" t="e">
        <f>IF(C67="","",VLOOKUP(C67,[3]listaBolsa!$D$2:$BB$276,51,0))</f>
        <v>#N/A</v>
      </c>
      <c r="BG67" s="7">
        <v>59</v>
      </c>
      <c r="CA67" s="7" t="e">
        <f>VLOOKUP(C67,[3]listaBolsa!$D$2:$BA$1248,1,0)</f>
        <v>#N/A</v>
      </c>
      <c r="CB67" s="7" t="e">
        <f>VLOOKUP(C67,[3]listaBolsa!$D$2:$BA$1248,2,0)</f>
        <v>#N/A</v>
      </c>
      <c r="CC67" s="7" t="e">
        <f>VLOOKUP(C67,[3]listaBolsa!$D$2:$BA$1248,10,0)</f>
        <v>#N/A</v>
      </c>
      <c r="CD67" s="7" t="e">
        <f>VLOOKUP(C67,[3]listaBolsa!$D$2:$BA$1248,14,0)</f>
        <v>#N/A</v>
      </c>
      <c r="CE67" s="7" t="e">
        <f>VLOOKUP(C67,[3]listaBolsa!$D$2:$BA$1248,23,0)</f>
        <v>#N/A</v>
      </c>
      <c r="CF67" s="7" t="e">
        <f>VLOOKUP(C67,[3]listaBolsa!$D$2:$BA$1248,29,0)</f>
        <v>#N/A</v>
      </c>
      <c r="CG67" s="7" t="e">
        <f>VLOOKUP(C67,[3]listaBolsa!$D$2:$BA$1248,36,0)</f>
        <v>#N/A</v>
      </c>
      <c r="CH67" s="7" t="e">
        <f>VLOOKUP(C67,[3]listaBolsa!$D$2:$BA$1248,40,0)</f>
        <v>#N/A</v>
      </c>
      <c r="CI67" s="7" t="e">
        <f>VLOOKUP(C67,[3]listaBolsa!$D$2:$BA$1248,48,0)</f>
        <v>#N/A</v>
      </c>
      <c r="CJ67" s="7" t="e">
        <f t="shared" si="6"/>
        <v>#N/A</v>
      </c>
      <c r="CK67" s="7" t="e">
        <f t="shared" si="6"/>
        <v>#N/A</v>
      </c>
      <c r="CL67" s="7" t="e">
        <f t="shared" si="7"/>
        <v>#N/A</v>
      </c>
      <c r="CM67" s="7" t="e">
        <f t="shared" si="7"/>
        <v>#N/A</v>
      </c>
      <c r="CN67" s="7" t="e">
        <f t="shared" si="8"/>
        <v>#N/A</v>
      </c>
      <c r="CO67" s="7" t="e">
        <f t="shared" si="8"/>
        <v>#N/A</v>
      </c>
      <c r="CP67" s="7" t="e">
        <f t="shared" si="9"/>
        <v>#N/A</v>
      </c>
      <c r="CQ67" s="7" t="e">
        <f t="shared" si="9"/>
        <v>#N/A</v>
      </c>
      <c r="CR67" s="7" t="e">
        <f t="shared" si="5"/>
        <v>#N/A</v>
      </c>
    </row>
    <row r="68" spans="1:96" s="7" customFormat="1" ht="117">
      <c r="A68" s="75">
        <f t="shared" si="0"/>
        <v>60</v>
      </c>
      <c r="B68" s="296" t="s">
        <v>1491</v>
      </c>
      <c r="C68" s="216" t="s">
        <v>2262</v>
      </c>
      <c r="D68" s="216" t="s">
        <v>2263</v>
      </c>
      <c r="E68" s="296" t="s">
        <v>185</v>
      </c>
      <c r="F68" s="297">
        <v>1</v>
      </c>
      <c r="G68" s="298" t="s">
        <v>186</v>
      </c>
      <c r="H68" s="299" t="s">
        <v>2264</v>
      </c>
      <c r="I68" s="299" t="s">
        <v>2265</v>
      </c>
      <c r="J68" s="299" t="s">
        <v>2266</v>
      </c>
      <c r="K68" s="299" t="s">
        <v>2267</v>
      </c>
      <c r="L68" s="299" t="s">
        <v>2268</v>
      </c>
      <c r="M68" s="299" t="s">
        <v>2267</v>
      </c>
      <c r="N68" s="300" t="s">
        <v>1214</v>
      </c>
      <c r="O68" s="300" t="s">
        <v>2265</v>
      </c>
      <c r="P68" s="300" t="s">
        <v>2269</v>
      </c>
      <c r="Q68" s="300" t="s">
        <v>2270</v>
      </c>
      <c r="R68" s="300" t="s">
        <v>2271</v>
      </c>
      <c r="S68" s="300" t="s">
        <v>2272</v>
      </c>
      <c r="T68" s="301" t="s">
        <v>883</v>
      </c>
      <c r="U68" s="301" t="s">
        <v>2273</v>
      </c>
      <c r="V68" s="301" t="s">
        <v>2274</v>
      </c>
      <c r="W68" s="301" t="s">
        <v>2275</v>
      </c>
      <c r="X68" s="301" t="s">
        <v>2276</v>
      </c>
      <c r="Y68" s="301" t="s">
        <v>2277</v>
      </c>
      <c r="Z68" s="246">
        <v>68066.667300000001</v>
      </c>
      <c r="AA68" s="246">
        <v>68066.667300000001</v>
      </c>
      <c r="AB68" s="247">
        <v>5484.8286542669575</v>
      </c>
      <c r="AC68" s="248">
        <v>8.0580243926045098E-2</v>
      </c>
      <c r="AD68" s="302"/>
      <c r="AF68" s="7" t="e">
        <f>IF(C68="","",VLOOKUP(C68,[3]listaBolsa!$D$2:$BB$276,51,0))</f>
        <v>#N/A</v>
      </c>
      <c r="BG68" s="7">
        <v>60</v>
      </c>
      <c r="CA68" s="7" t="e">
        <f>VLOOKUP(C68,[3]listaBolsa!$D$2:$BA$1248,1,0)</f>
        <v>#N/A</v>
      </c>
      <c r="CB68" s="7" t="e">
        <f>VLOOKUP(C68,[3]listaBolsa!$D$2:$BA$1248,2,0)</f>
        <v>#N/A</v>
      </c>
      <c r="CC68" s="7" t="e">
        <f>VLOOKUP(C68,[3]listaBolsa!$D$2:$BA$1248,10,0)</f>
        <v>#N/A</v>
      </c>
      <c r="CD68" s="7" t="e">
        <f>VLOOKUP(C68,[3]listaBolsa!$D$2:$BA$1248,14,0)</f>
        <v>#N/A</v>
      </c>
      <c r="CE68" s="7" t="e">
        <f>VLOOKUP(C68,[3]listaBolsa!$D$2:$BA$1248,23,0)</f>
        <v>#N/A</v>
      </c>
      <c r="CF68" s="7" t="e">
        <f>VLOOKUP(C68,[3]listaBolsa!$D$2:$BA$1248,29,0)</f>
        <v>#N/A</v>
      </c>
      <c r="CG68" s="7" t="e">
        <f>VLOOKUP(C68,[3]listaBolsa!$D$2:$BA$1248,36,0)</f>
        <v>#N/A</v>
      </c>
      <c r="CH68" s="7" t="e">
        <f>VLOOKUP(C68,[3]listaBolsa!$D$2:$BA$1248,40,0)</f>
        <v>#N/A</v>
      </c>
      <c r="CI68" s="7" t="e">
        <f>VLOOKUP(C68,[3]listaBolsa!$D$2:$BA$1248,48,0)</f>
        <v>#N/A</v>
      </c>
      <c r="CJ68" s="7" t="e">
        <f t="shared" si="6"/>
        <v>#N/A</v>
      </c>
      <c r="CK68" s="7" t="e">
        <f t="shared" si="6"/>
        <v>#N/A</v>
      </c>
      <c r="CL68" s="7" t="e">
        <f t="shared" si="7"/>
        <v>#N/A</v>
      </c>
      <c r="CM68" s="7" t="e">
        <f t="shared" si="7"/>
        <v>#N/A</v>
      </c>
      <c r="CN68" s="7" t="e">
        <f t="shared" si="8"/>
        <v>#N/A</v>
      </c>
      <c r="CO68" s="7" t="e">
        <f t="shared" si="8"/>
        <v>#N/A</v>
      </c>
      <c r="CP68" s="7" t="e">
        <f t="shared" si="9"/>
        <v>#N/A</v>
      </c>
      <c r="CQ68" s="7" t="e">
        <f t="shared" si="9"/>
        <v>#N/A</v>
      </c>
      <c r="CR68" s="7" t="e">
        <f t="shared" si="5"/>
        <v>#N/A</v>
      </c>
    </row>
    <row r="69" spans="1:96" s="7" customFormat="1" ht="117">
      <c r="A69" s="303">
        <f t="shared" si="0"/>
        <v>61</v>
      </c>
      <c r="B69" s="354" t="s">
        <v>1491</v>
      </c>
      <c r="C69" s="355" t="s">
        <v>2278</v>
      </c>
      <c r="D69" s="355" t="s">
        <v>2279</v>
      </c>
      <c r="E69" s="354" t="s">
        <v>185</v>
      </c>
      <c r="F69" s="356">
        <v>1</v>
      </c>
      <c r="G69" s="357" t="s">
        <v>186</v>
      </c>
      <c r="H69" s="347" t="s">
        <v>1666</v>
      </c>
      <c r="I69" s="347" t="s">
        <v>2031</v>
      </c>
      <c r="J69" s="347" t="s">
        <v>2280</v>
      </c>
      <c r="K69" s="347" t="s">
        <v>2281</v>
      </c>
      <c r="L69" s="347" t="s">
        <v>2282</v>
      </c>
      <c r="M69" s="347" t="s">
        <v>2281</v>
      </c>
      <c r="N69" s="348" t="s">
        <v>1670</v>
      </c>
      <c r="O69" s="348" t="s">
        <v>2283</v>
      </c>
      <c r="P69" s="348" t="s">
        <v>2284</v>
      </c>
      <c r="Q69" s="348" t="s">
        <v>2285</v>
      </c>
      <c r="R69" s="348" t="s">
        <v>2286</v>
      </c>
      <c r="S69" s="348" t="s">
        <v>2287</v>
      </c>
      <c r="T69" s="349" t="s">
        <v>1674</v>
      </c>
      <c r="U69" s="349" t="s">
        <v>2288</v>
      </c>
      <c r="V69" s="349" t="s">
        <v>2289</v>
      </c>
      <c r="W69" s="349" t="s">
        <v>2290</v>
      </c>
      <c r="X69" s="349" t="s">
        <v>2291</v>
      </c>
      <c r="Y69" s="349" t="s">
        <v>2292</v>
      </c>
      <c r="Z69" s="246">
        <v>19936.466666666667</v>
      </c>
      <c r="AA69" s="246">
        <v>19936.466666666667</v>
      </c>
      <c r="AB69" s="247">
        <v>1649.9998343434252</v>
      </c>
      <c r="AC69" s="248">
        <v>8.2762901868774399E-2</v>
      </c>
      <c r="AD69" s="302"/>
      <c r="AF69" s="7" t="e">
        <f>IF(C69="","",VLOOKUP(C69,[3]listaBolsa!$D$2:$BB$276,51,0))</f>
        <v>#N/A</v>
      </c>
      <c r="BG69" s="7">
        <v>61</v>
      </c>
      <c r="CA69" s="7" t="e">
        <f>VLOOKUP(C69,[3]listaBolsa!$D$2:$BA$1248,1,0)</f>
        <v>#N/A</v>
      </c>
      <c r="CB69" s="7" t="e">
        <f>VLOOKUP(C69,[3]listaBolsa!$D$2:$BA$1248,2,0)</f>
        <v>#N/A</v>
      </c>
      <c r="CC69" s="7" t="e">
        <f>VLOOKUP(C69,[3]listaBolsa!$D$2:$BA$1248,10,0)</f>
        <v>#N/A</v>
      </c>
      <c r="CD69" s="7" t="e">
        <f>VLOOKUP(C69,[3]listaBolsa!$D$2:$BA$1248,14,0)</f>
        <v>#N/A</v>
      </c>
      <c r="CE69" s="7" t="e">
        <f>VLOOKUP(C69,[3]listaBolsa!$D$2:$BA$1248,23,0)</f>
        <v>#N/A</v>
      </c>
      <c r="CF69" s="7" t="e">
        <f>VLOOKUP(C69,[3]listaBolsa!$D$2:$BA$1248,29,0)</f>
        <v>#N/A</v>
      </c>
      <c r="CG69" s="7" t="e">
        <f>VLOOKUP(C69,[3]listaBolsa!$D$2:$BA$1248,36,0)</f>
        <v>#N/A</v>
      </c>
      <c r="CH69" s="7" t="e">
        <f>VLOOKUP(C69,[3]listaBolsa!$D$2:$BA$1248,40,0)</f>
        <v>#N/A</v>
      </c>
      <c r="CI69" s="7" t="e">
        <f>VLOOKUP(C69,[3]listaBolsa!$D$2:$BA$1248,48,0)</f>
        <v>#N/A</v>
      </c>
      <c r="CJ69" s="7" t="e">
        <f t="shared" si="6"/>
        <v>#N/A</v>
      </c>
      <c r="CK69" s="7" t="e">
        <f t="shared" si="6"/>
        <v>#N/A</v>
      </c>
      <c r="CL69" s="7" t="e">
        <f t="shared" si="7"/>
        <v>#N/A</v>
      </c>
      <c r="CM69" s="7" t="e">
        <f t="shared" si="7"/>
        <v>#N/A</v>
      </c>
      <c r="CN69" s="7" t="e">
        <f t="shared" si="8"/>
        <v>#N/A</v>
      </c>
      <c r="CO69" s="7" t="e">
        <f t="shared" si="8"/>
        <v>#N/A</v>
      </c>
      <c r="CP69" s="7" t="e">
        <f t="shared" si="9"/>
        <v>#N/A</v>
      </c>
      <c r="CQ69" s="7" t="e">
        <f t="shared" si="9"/>
        <v>#N/A</v>
      </c>
      <c r="CR69" s="7" t="e">
        <f t="shared" si="5"/>
        <v>#N/A</v>
      </c>
    </row>
    <row r="70" spans="1:96" ht="15" customHeight="1">
      <c r="A70" s="488" t="s">
        <v>2293</v>
      </c>
      <c r="B70" s="489"/>
      <c r="C70" s="489"/>
      <c r="D70" s="489"/>
      <c r="E70" s="489"/>
      <c r="F70" s="489"/>
      <c r="G70" s="489"/>
      <c r="H70" s="489"/>
      <c r="I70" s="489"/>
      <c r="J70" s="489"/>
      <c r="K70" s="489"/>
      <c r="L70" s="489"/>
      <c r="M70" s="489"/>
      <c r="N70" s="489"/>
      <c r="O70" s="489"/>
      <c r="P70" s="489"/>
      <c r="Q70" s="489"/>
      <c r="R70" s="489"/>
      <c r="S70" s="489"/>
      <c r="T70" s="489"/>
      <c r="U70" s="489"/>
      <c r="V70" s="489"/>
      <c r="W70" s="489"/>
      <c r="X70" s="489"/>
      <c r="Y70" s="489"/>
      <c r="Z70" s="489"/>
      <c r="AA70" s="489"/>
      <c r="AB70" s="489"/>
      <c r="AC70" s="489"/>
      <c r="AD70" s="489"/>
    </row>
    <row r="71" spans="1:96">
      <c r="L71" s="70"/>
      <c r="M71" s="70"/>
      <c r="Y71" s="3">
        <f>SUM(Y9:Y69)</f>
        <v>9877</v>
      </c>
    </row>
    <row r="72" spans="1:96">
      <c r="L72" s="70"/>
      <c r="M72" s="70"/>
      <c r="P72" s="341"/>
      <c r="Q72" s="341"/>
      <c r="R72" s="341"/>
    </row>
    <row r="73" spans="1:96">
      <c r="L73" s="70"/>
      <c r="M73" s="70"/>
    </row>
    <row r="74" spans="1:96"/>
    <row r="75" spans="1:96">
      <c r="N75" s="3" t="s">
        <v>1662</v>
      </c>
    </row>
  </sheetData>
  <sheetProtection formatColumns="0" formatRows="0" insertColumns="0" insertRows="0" autoFilter="0"/>
  <mergeCells count="14">
    <mergeCell ref="A3:M3"/>
    <mergeCell ref="N3:W6"/>
    <mergeCell ref="A4:B6"/>
    <mergeCell ref="D4:L4"/>
    <mergeCell ref="A70:AD70"/>
    <mergeCell ref="H7:M7"/>
    <mergeCell ref="N7:S7"/>
    <mergeCell ref="T7:Y7"/>
    <mergeCell ref="Z7:AC7"/>
    <mergeCell ref="Z4:AA4"/>
    <mergeCell ref="D5:M5"/>
    <mergeCell ref="Z5:AA5"/>
    <mergeCell ref="F6:M6"/>
    <mergeCell ref="Z6:AA6"/>
  </mergeCells>
  <conditionalFormatting sqref="AC53:AC69">
    <cfRule type="cellIs" dxfId="0" priority="1" stopIfTrue="1" operator="greaterThan">
      <formula>0.2</formula>
    </cfRule>
  </conditionalFormatting>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46444571-6DD6-4DC8-84A1-142D44F0BE59}">
          <x14:formula1>
            <xm:f>Lista!$V$8:$V$14</xm:f>
          </x14:formula1>
          <xm:sqref>D5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Sarita Rico Valdes</cp:lastModifiedBy>
  <cp:revision/>
  <dcterms:created xsi:type="dcterms:W3CDTF">2025-03-14T01:33:22Z</dcterms:created>
  <dcterms:modified xsi:type="dcterms:W3CDTF">2026-10-22T21:53:59Z</dcterms:modified>
  <cp:category/>
  <cp:contentStatus/>
</cp:coreProperties>
</file>